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600" windowWidth="14880" windowHeight="7515" tabRatio="534"/>
  </bookViews>
  <sheets>
    <sheet name="Contenido" sheetId="17" r:id="rId1"/>
    <sheet name="RE-01" sheetId="2" r:id="rId2"/>
    <sheet name="RE-02" sheetId="18" r:id="rId3"/>
    <sheet name="RE-03" sheetId="19" r:id="rId4"/>
    <sheet name="RE-04" sheetId="3" r:id="rId5"/>
    <sheet name="RE-05" sheetId="12" r:id="rId6"/>
    <sheet name="RE-06" sheetId="13" r:id="rId7"/>
    <sheet name="RE-07" sheetId="14" r:id="rId8"/>
    <sheet name="RE-08" sheetId="15" r:id="rId9"/>
    <sheet name="RE-09" sheetId="16" r:id="rId10"/>
    <sheet name="RE-10" sheetId="6" r:id="rId11"/>
    <sheet name="RE-11" sheetId="7" r:id="rId12"/>
    <sheet name="RE-12" sheetId="8" r:id="rId13"/>
    <sheet name="RE-13" sheetId="9" r:id="rId14"/>
    <sheet name="RE-14" sheetId="10" r:id="rId15"/>
  </sheets>
  <definedNames>
    <definedName name="_Toc207008504" localSheetId="9">'RE-09'!#REF!</definedName>
    <definedName name="_Toc283201073" localSheetId="7">'RE-07'!#REF!</definedName>
    <definedName name="_Toc283201078" localSheetId="10">'RE-10'!#REF!</definedName>
  </definedNames>
  <calcPr calcId="145621"/>
</workbook>
</file>

<file path=xl/calcChain.xml><?xml version="1.0" encoding="utf-8"?>
<calcChain xmlns="http://schemas.openxmlformats.org/spreadsheetml/2006/main">
  <c r="H15" i="12" l="1"/>
  <c r="H9" i="12"/>
  <c r="J8" i="8" l="1"/>
  <c r="I8" i="8"/>
  <c r="H8" i="8"/>
  <c r="G8" i="8"/>
  <c r="F8" i="8"/>
  <c r="E8" i="8"/>
  <c r="D8" i="8"/>
  <c r="I7" i="6"/>
  <c r="J7" i="6"/>
  <c r="H7" i="6"/>
  <c r="G7" i="6"/>
  <c r="F7" i="6"/>
  <c r="E7" i="6"/>
  <c r="D7" i="6"/>
  <c r="M23" i="10" l="1"/>
  <c r="M21" i="10"/>
  <c r="M24" i="10"/>
  <c r="M22" i="10"/>
  <c r="M7" i="10"/>
  <c r="M18" i="10"/>
  <c r="M17" i="10"/>
  <c r="M16" i="10"/>
  <c r="M15" i="10"/>
  <c r="M14" i="10"/>
  <c r="M13" i="10"/>
  <c r="M10" i="10"/>
  <c r="M9" i="10"/>
  <c r="M8" i="10"/>
  <c r="L23" i="10"/>
  <c r="K23" i="10"/>
  <c r="J23" i="10"/>
  <c r="L21" i="10"/>
  <c r="K21" i="10"/>
  <c r="J21" i="10"/>
  <c r="I20" i="10" l="1"/>
  <c r="I19" i="10"/>
  <c r="H12" i="10"/>
  <c r="H23" i="10" s="1"/>
  <c r="G12" i="10"/>
  <c r="G23" i="10" s="1"/>
  <c r="F12" i="10"/>
  <c r="F23" i="10" s="1"/>
  <c r="E12" i="10"/>
  <c r="H11" i="10"/>
  <c r="H21" i="10" s="1"/>
  <c r="G11" i="10"/>
  <c r="G21" i="10" s="1"/>
  <c r="F11" i="10"/>
  <c r="F21" i="10" s="1"/>
  <c r="E11" i="10"/>
  <c r="J7" i="7"/>
  <c r="I7" i="7"/>
  <c r="H7" i="7"/>
  <c r="G7" i="7"/>
  <c r="F7" i="7"/>
  <c r="E7" i="7"/>
  <c r="D7" i="7"/>
  <c r="I36" i="16"/>
  <c r="H36" i="16"/>
  <c r="G36" i="16"/>
  <c r="F36" i="16"/>
  <c r="E36" i="16"/>
  <c r="D36" i="16"/>
  <c r="F17" i="16"/>
  <c r="E17" i="16"/>
  <c r="D17" i="16"/>
  <c r="I17" i="16"/>
  <c r="H17" i="16"/>
  <c r="G17" i="16"/>
  <c r="J14" i="16"/>
  <c r="J17" i="16"/>
  <c r="K17" i="16"/>
  <c r="L17" i="16"/>
  <c r="J16" i="16"/>
  <c r="J15" i="16"/>
  <c r="J13" i="16"/>
  <c r="J12" i="16"/>
  <c r="J11" i="16"/>
  <c r="J10" i="16"/>
  <c r="J9" i="16"/>
  <c r="J8" i="16"/>
  <c r="J7" i="16"/>
  <c r="D21" i="15"/>
  <c r="E21" i="15"/>
  <c r="F21" i="15"/>
  <c r="G21" i="15"/>
  <c r="H21" i="15"/>
  <c r="J29" i="15"/>
  <c r="I29" i="15"/>
  <c r="G42" i="13"/>
  <c r="F42" i="13"/>
  <c r="G41" i="13"/>
  <c r="F41" i="13"/>
  <c r="G40" i="13"/>
  <c r="G39" i="13" s="1"/>
  <c r="F40" i="13"/>
  <c r="G38" i="13"/>
  <c r="F38" i="13"/>
  <c r="G37" i="13"/>
  <c r="F37" i="13"/>
  <c r="G36" i="13"/>
  <c r="F36" i="13"/>
  <c r="G35" i="13"/>
  <c r="G34" i="13"/>
  <c r="F34" i="13"/>
  <c r="F32" i="13"/>
  <c r="G30" i="13"/>
  <c r="F30" i="13"/>
  <c r="G29" i="13"/>
  <c r="F29" i="13"/>
  <c r="G28" i="13"/>
  <c r="G27" i="13" s="1"/>
  <c r="F28" i="13"/>
  <c r="G26" i="13"/>
  <c r="F26" i="13"/>
  <c r="G25" i="13"/>
  <c r="F25" i="13"/>
  <c r="G24" i="13"/>
  <c r="F24" i="13"/>
  <c r="G22" i="13"/>
  <c r="F22" i="13"/>
  <c r="G21" i="13"/>
  <c r="F21" i="13"/>
  <c r="G20" i="13"/>
  <c r="F20" i="13"/>
  <c r="G19" i="13"/>
  <c r="F19" i="13"/>
  <c r="G18" i="13"/>
  <c r="F18" i="13"/>
  <c r="G16" i="13"/>
  <c r="F16" i="13"/>
  <c r="G15" i="13"/>
  <c r="F15" i="13"/>
  <c r="G14" i="13"/>
  <c r="F14" i="13"/>
  <c r="G13" i="13"/>
  <c r="F13" i="13"/>
  <c r="G12" i="13"/>
  <c r="F12" i="13"/>
  <c r="F10" i="13"/>
  <c r="F9" i="13"/>
  <c r="F8" i="13"/>
  <c r="G7" i="13"/>
  <c r="E9" i="12"/>
  <c r="E15" i="12"/>
  <c r="H14" i="12"/>
  <c r="H13" i="12"/>
  <c r="H12" i="12"/>
  <c r="G12" i="12" s="1"/>
  <c r="H11" i="12"/>
  <c r="E11" i="12" s="1"/>
  <c r="H10" i="12"/>
  <c r="D13" i="3"/>
  <c r="I13" i="3"/>
  <c r="J13" i="3"/>
  <c r="J11" i="3"/>
  <c r="I11" i="3"/>
  <c r="D11" i="3"/>
  <c r="H11" i="3"/>
  <c r="H13" i="3" s="1"/>
  <c r="G11" i="3"/>
  <c r="G13" i="3" s="1"/>
  <c r="F11" i="3"/>
  <c r="F13" i="3" s="1"/>
  <c r="E11" i="3"/>
  <c r="E13" i="3" s="1"/>
  <c r="M20" i="10" l="1"/>
  <c r="I23" i="10"/>
  <c r="H24" i="10" s="1"/>
  <c r="M11" i="10"/>
  <c r="E21" i="10"/>
  <c r="M12" i="10"/>
  <c r="E23" i="10"/>
  <c r="M19" i="10"/>
  <c r="I21" i="10"/>
  <c r="I21" i="15"/>
  <c r="J21" i="15"/>
  <c r="F17" i="13"/>
  <c r="F23" i="13"/>
  <c r="F39" i="13"/>
  <c r="G11" i="13"/>
  <c r="F27" i="13"/>
  <c r="F7" i="13"/>
  <c r="F11" i="13"/>
  <c r="G23" i="13"/>
  <c r="F31" i="13"/>
  <c r="G17" i="13"/>
  <c r="G31" i="13"/>
  <c r="E12" i="12"/>
  <c r="G9" i="12"/>
  <c r="G13" i="12"/>
  <c r="E13" i="12"/>
  <c r="G10" i="12"/>
  <c r="G14" i="12"/>
  <c r="E10" i="12"/>
  <c r="E14" i="12"/>
  <c r="G11" i="12"/>
  <c r="G15" i="12"/>
  <c r="I7" i="19"/>
  <c r="D8" i="19"/>
  <c r="D10" i="19" s="1"/>
  <c r="E8" i="19"/>
  <c r="F8" i="19"/>
  <c r="F10" i="19" s="1"/>
  <c r="G8" i="19"/>
  <c r="H8" i="19"/>
  <c r="H10" i="19" s="1"/>
  <c r="I8" i="19"/>
  <c r="E10" i="19"/>
  <c r="G10" i="19"/>
  <c r="I10" i="19"/>
  <c r="J7" i="19"/>
  <c r="J8" i="19" s="1"/>
  <c r="J10" i="19" s="1"/>
  <c r="E24" i="10" l="1"/>
  <c r="K24" i="10"/>
  <c r="J24" i="10"/>
  <c r="L24" i="10"/>
  <c r="I24" i="10"/>
  <c r="F24" i="10"/>
  <c r="G24" i="10"/>
  <c r="G43" i="13"/>
  <c r="F43" i="13"/>
  <c r="H11" i="18"/>
  <c r="G11" i="18"/>
  <c r="D11" i="18"/>
  <c r="J8" i="18"/>
  <c r="J11" i="18" s="1"/>
  <c r="H8" i="18"/>
  <c r="G8" i="18"/>
  <c r="F8" i="18"/>
  <c r="F11" i="18" s="1"/>
  <c r="E8" i="18"/>
  <c r="E11" i="18" s="1"/>
  <c r="D8" i="18"/>
  <c r="J7" i="18"/>
  <c r="I7" i="18"/>
  <c r="J6" i="18"/>
  <c r="I6" i="18"/>
  <c r="I8" i="18" s="1"/>
  <c r="I11" i="18" s="1"/>
  <c r="J5" i="18"/>
  <c r="F33" i="2"/>
  <c r="G33" i="2"/>
  <c r="H33" i="2"/>
  <c r="I33" i="2"/>
  <c r="I55" i="2"/>
  <c r="H55" i="2"/>
  <c r="G55" i="2"/>
  <c r="F55" i="2"/>
  <c r="E22" i="10" l="1"/>
  <c r="J22" i="10"/>
  <c r="H22" i="10"/>
  <c r="G22" i="10"/>
  <c r="K22" i="10"/>
  <c r="F22" i="10"/>
  <c r="L22" i="10"/>
  <c r="I22" i="10"/>
</calcChain>
</file>

<file path=xl/sharedStrings.xml><?xml version="1.0" encoding="utf-8"?>
<sst xmlns="http://schemas.openxmlformats.org/spreadsheetml/2006/main" count="385" uniqueCount="292">
  <si>
    <t>CONCEPTO</t>
  </si>
  <si>
    <r>
      <rPr>
        <b/>
        <sz val="10"/>
        <color indexed="8"/>
        <rFont val="Calibri"/>
        <family val="2"/>
      </rPr>
      <t xml:space="preserve">Fuente: </t>
    </r>
    <r>
      <rPr>
        <sz val="10"/>
        <color indexed="8"/>
        <rFont val="Calibri"/>
        <family val="2"/>
      </rPr>
      <t>Vicerrectoría Administrativa</t>
    </r>
  </si>
  <si>
    <t>INDICADOR</t>
  </si>
  <si>
    <t>Monto total del presupuesto</t>
  </si>
  <si>
    <t>Montos de recursos aplicados a inversión (física y tecnológica)</t>
  </si>
  <si>
    <t>Monto de recursos ejecutados en investigación</t>
  </si>
  <si>
    <t>Monto de recursos apropiados</t>
  </si>
  <si>
    <t>Rentas Propias</t>
  </si>
  <si>
    <t>TOTAL INGRESOS</t>
  </si>
  <si>
    <t>Estrato I</t>
  </si>
  <si>
    <t>Estrato II</t>
  </si>
  <si>
    <t>Estrato III</t>
  </si>
  <si>
    <t>Estrato IV</t>
  </si>
  <si>
    <t>Estrato V</t>
  </si>
  <si>
    <t>Estrato VI</t>
  </si>
  <si>
    <t>CÓDIGO</t>
  </si>
  <si>
    <t>ESTRATO</t>
  </si>
  <si>
    <t>Bajo-Bajo</t>
  </si>
  <si>
    <t>Bajo</t>
  </si>
  <si>
    <t>Medio-Bajo</t>
  </si>
  <si>
    <t>Medio</t>
  </si>
  <si>
    <t>Medio-Alto</t>
  </si>
  <si>
    <t>Alto</t>
  </si>
  <si>
    <t>TARIFA MÍNIMA
COLEGIO  PÚBLICO</t>
  </si>
  <si>
    <t>TARIFA MÍNIMA
COLEGIO PRIVADO</t>
  </si>
  <si>
    <t>COLEGIO PÚBLICO
% SMMLV</t>
  </si>
  <si>
    <t>COLEGIO PRIVADO
% SMMLV</t>
  </si>
  <si>
    <t xml:space="preserve">ESTRATO </t>
  </si>
  <si>
    <t>TOTAL</t>
  </si>
  <si>
    <t xml:space="preserve">MATRÍCULA DE HONOR                 </t>
  </si>
  <si>
    <t>APOYO MATRÍCULA FONDO UTP</t>
  </si>
  <si>
    <t>BONO DE MATRÍCULA</t>
  </si>
  <si>
    <t>SUBSIDIO DE TRANSPORTE</t>
  </si>
  <si>
    <t>RELIQUIDACIÓN DE MATRÍCULA</t>
  </si>
  <si>
    <t>BONO ALIMENTICIO</t>
  </si>
  <si>
    <t>MONITORIA SOCIAL</t>
  </si>
  <si>
    <t>DESCRIPCIÓN</t>
  </si>
  <si>
    <t>Servicios Personales</t>
  </si>
  <si>
    <t>Gastos Generales</t>
  </si>
  <si>
    <t>Transferencias</t>
  </si>
  <si>
    <t>Operación Comercial</t>
  </si>
  <si>
    <t>Inversión</t>
  </si>
  <si>
    <t>TOTALES</t>
  </si>
  <si>
    <t>PRESUPUESTO INSTITUCIONAL</t>
  </si>
  <si>
    <t>TOTAL FUNCIONAMIENTO</t>
  </si>
  <si>
    <t>EJECUCION 2006</t>
  </si>
  <si>
    <t>EJECUCION 2007</t>
  </si>
  <si>
    <t>EJECUCION 2008</t>
  </si>
  <si>
    <t>EJECUCION 2009</t>
  </si>
  <si>
    <t>EJECUCION 2010</t>
  </si>
  <si>
    <t>EJECUCIÓN PRESUPUESTAL DE GASTOS</t>
  </si>
  <si>
    <t>Restauración Planta Física</t>
  </si>
  <si>
    <t>Impulso a las Investigaciones</t>
  </si>
  <si>
    <t>Modernización Tecnológica</t>
  </si>
  <si>
    <t>Dotación Laboratorios y Talleres</t>
  </si>
  <si>
    <t>Capacitación Postgraduada</t>
  </si>
  <si>
    <t>Objetivo 1: Desarrollo Institucional</t>
  </si>
  <si>
    <t>Desarrollo Tecnológico y de Comunicaciones</t>
  </si>
  <si>
    <t>Desarrollo Humano y Organizacional</t>
  </si>
  <si>
    <t>Desarrollo Físico Sostenible</t>
  </si>
  <si>
    <t>Objetivo 2: Cobertura con Calidad</t>
  </si>
  <si>
    <t xml:space="preserve">Educabilidad </t>
  </si>
  <si>
    <t>Aprendibilidad</t>
  </si>
  <si>
    <t>Educatividad</t>
  </si>
  <si>
    <t xml:space="preserve">Enseñabilidad </t>
  </si>
  <si>
    <t>Cobertura</t>
  </si>
  <si>
    <t>Objetivo 4: Investigación, Innovación y Extensión</t>
  </si>
  <si>
    <t>Convocatorias</t>
  </si>
  <si>
    <t>Universidad Empresa Estado</t>
  </si>
  <si>
    <t>Políticas de Fomento</t>
  </si>
  <si>
    <t>Objetivo 5: Internacionalización de la UTP</t>
  </si>
  <si>
    <t>Movilidad</t>
  </si>
  <si>
    <t>Doble Titulación</t>
  </si>
  <si>
    <t>Bilinguismo</t>
  </si>
  <si>
    <t>Objetivo 6: Impacto Regional</t>
  </si>
  <si>
    <t>Red de Observatorios Regional</t>
  </si>
  <si>
    <t>Política de Impacto Regional</t>
  </si>
  <si>
    <t>Paisaje Cultural Cafetero</t>
  </si>
  <si>
    <t>Agenda Ecorregión</t>
  </si>
  <si>
    <t>Objetivo 7: Alianzas Estratégicas</t>
  </si>
  <si>
    <t>Aprestamiento Institucional</t>
  </si>
  <si>
    <t>Vigilancia e Inteligencia Competitiva</t>
  </si>
  <si>
    <t>Mercadeo Social</t>
  </si>
  <si>
    <t>TOTAL PLAN DE DESARROLLO</t>
  </si>
  <si>
    <t>EJECUCIÓN PRESUPUESTAL DE GASTOS DESTINADOS A INVERSIÓN</t>
  </si>
  <si>
    <t>DENOMINACIÓN</t>
  </si>
  <si>
    <t>VALOR ASIGNADO
VIGENCIA 2009</t>
  </si>
  <si>
    <t>VALOR ASIGNADO
VIGENCIA 2010</t>
  </si>
  <si>
    <t>(Millones de pesos)</t>
  </si>
  <si>
    <t>Investigación</t>
  </si>
  <si>
    <t>Técnico Profesional en Procesos del Turismo Sostenible (por ciclos propedéuticos)</t>
  </si>
  <si>
    <t>Licenciatura en Música</t>
  </si>
  <si>
    <t>Licenciatura en Artes Visuales</t>
  </si>
  <si>
    <t>Licenciatura en Comunicación e Informática Educativa</t>
  </si>
  <si>
    <t>Licenciatura en Matemáticas y Física</t>
  </si>
  <si>
    <t>Licenciatura en Español y Literatura (Nocturno)</t>
  </si>
  <si>
    <t>Ingeniería Eléctrica</t>
  </si>
  <si>
    <t>Ingeniería Industrial</t>
  </si>
  <si>
    <t>Ingeniería Mecánica</t>
  </si>
  <si>
    <t>Química Industrial</t>
  </si>
  <si>
    <t>Licenciatura en Etnoeducación y Desarrollo Comunitario</t>
  </si>
  <si>
    <t>Tecnología Eléctrica</t>
  </si>
  <si>
    <t>Tecnología Industrial</t>
  </si>
  <si>
    <t>Tecnología Mecánica</t>
  </si>
  <si>
    <t>Tecnología Química</t>
  </si>
  <si>
    <t>Administración del Medio Ambiente</t>
  </si>
  <si>
    <t>Ingeniería de Sistemas y Computación</t>
  </si>
  <si>
    <t>Medicina</t>
  </si>
  <si>
    <t>Ciencias del Deporte y la Recreación</t>
  </si>
  <si>
    <t>Licenciatura en Pedagogía Infantil</t>
  </si>
  <si>
    <t>Ingeniería Física</t>
  </si>
  <si>
    <t>Ingeniería Electrónica (Nocturno)</t>
  </si>
  <si>
    <t>Ingeniería de Sistemas y Computación (Nocturno)</t>
  </si>
  <si>
    <t>Ingeniería Industrial (Nocturno)</t>
  </si>
  <si>
    <t>Ingeniería Mecánica (Nocturno)</t>
  </si>
  <si>
    <t>Administración Industrial</t>
  </si>
  <si>
    <t>Licenciatura en Filosofía (Nocturno)</t>
  </si>
  <si>
    <t>Técnico Profesional en Mecatrónica (por ciclos propedéuticos)</t>
  </si>
  <si>
    <t>Tecnología en Mecatrónica (por ciclos propedéuticos)</t>
  </si>
  <si>
    <t>Ingeniería en Mecatrónica (por ciclos propedéuticos)</t>
  </si>
  <si>
    <t>Fisioterapia y Kinesiología</t>
  </si>
  <si>
    <t>Medicina Veterinaria y Zootecnia</t>
  </si>
  <si>
    <t>Tecnología en Atención Prehospitalaria</t>
  </si>
  <si>
    <t>FACULTAD</t>
  </si>
  <si>
    <t>COD</t>
  </si>
  <si>
    <t>PROGRAMA</t>
  </si>
  <si>
    <t>Bellas Artes y Humanidades</t>
  </si>
  <si>
    <t>Licenciatura en Artes Plásticas *</t>
  </si>
  <si>
    <t>Licenciatura en Filosofía (Diurno) *</t>
  </si>
  <si>
    <t>Ciencias Ambientales</t>
  </si>
  <si>
    <t>AG</t>
  </si>
  <si>
    <t>Ciencias Básicas</t>
  </si>
  <si>
    <t>Ciencias de la Educación</t>
  </si>
  <si>
    <t>Licenciatura en Español y Comunicación Audiovisual *</t>
  </si>
  <si>
    <t>Ciencias de la Salud</t>
  </si>
  <si>
    <t>Ingenierías Eléctrica, Electrónica, Física y Ciencias de la Computación</t>
  </si>
  <si>
    <t>I SEMESTRE</t>
  </si>
  <si>
    <t>II SEMESTRE</t>
  </si>
  <si>
    <t>NÚMERO DE
ESTUDIANTES</t>
  </si>
  <si>
    <t>PROMEDIO VALOR
MATRÍCULA</t>
  </si>
  <si>
    <t>VIGENCIA 2008</t>
  </si>
  <si>
    <t>VIGENCIA 2009</t>
  </si>
  <si>
    <t>CAPACITACIÓN</t>
  </si>
  <si>
    <t>VIATICOS</t>
  </si>
  <si>
    <t>Apoyo Académico</t>
  </si>
  <si>
    <t>Facultad de Bellas Artes y Humanidades</t>
  </si>
  <si>
    <t>Facultad de Ciencias Ambientales</t>
  </si>
  <si>
    <t>Facultad de Ciencias Básicas</t>
  </si>
  <si>
    <t>Facultad de Ciencias de la Educación</t>
  </si>
  <si>
    <t>Facultad de Ciencias de la Salud</t>
  </si>
  <si>
    <t>Facultad de Ingeniería Industrial</t>
  </si>
  <si>
    <t>Facultad de Ingeniería Mecánica</t>
  </si>
  <si>
    <t>Facultad de Tecnologías</t>
  </si>
  <si>
    <t>VIGENCIA 2010</t>
  </si>
  <si>
    <t>Facultad de Ingenierías Eléctrica, Electrónica, Física y Ciencias de la Computación</t>
  </si>
  <si>
    <t>COMPRA DE EQUIPO</t>
  </si>
  <si>
    <t>GESTIÓN DE PROYECTOS</t>
  </si>
  <si>
    <t>Pregrado</t>
  </si>
  <si>
    <t>Educación no formal</t>
  </si>
  <si>
    <t>Servicios de extensión</t>
  </si>
  <si>
    <t>Consultoría Profesional</t>
  </si>
  <si>
    <t>Gestión Tecnológica</t>
  </si>
  <si>
    <t>Otros Servicios</t>
  </si>
  <si>
    <t>Proyectos Especiales de Docencia</t>
  </si>
  <si>
    <t xml:space="preserve">Proyectos Especiales de Investigación </t>
  </si>
  <si>
    <t>Proyectos Especiales de Extensión</t>
  </si>
  <si>
    <t>Proyectos PARCE</t>
  </si>
  <si>
    <t>TOTAL PROYECTOS DE OPERACIÓN COMERCIAL</t>
  </si>
  <si>
    <t>SUB TOTAL PROYECTOS DE DOCENCIA</t>
  </si>
  <si>
    <t>SUB TOTAL PROYECTOS DE INVESTIGACIÓN</t>
  </si>
  <si>
    <t>SUB TOTAL PROYECTOS DE EXTENSIÓN</t>
  </si>
  <si>
    <t>CONVOCATORIA DE ACTUALIZACIÓN Y REPOSICIÓN DE EQUIPOS (PARCE)</t>
  </si>
  <si>
    <t>TOTAL EJECUCIÓN POR TIPO DE PROYECTOS</t>
  </si>
  <si>
    <t>N° PROYECTOS 2006</t>
  </si>
  <si>
    <t>N° PROYECTOS 2007</t>
  </si>
  <si>
    <t>N° PROYECTOS 2008</t>
  </si>
  <si>
    <t>N° PROYECTOS 2009</t>
  </si>
  <si>
    <t>N° PROYECTOS 2010</t>
  </si>
  <si>
    <t>TIPO DE PROYECTOS</t>
  </si>
  <si>
    <t>TOTAL N° DE PROYECTOS EJECUTADOS</t>
  </si>
  <si>
    <r>
      <t>Fuente:</t>
    </r>
    <r>
      <rPr>
        <sz val="10"/>
        <rFont val="Calibri"/>
        <family val="2"/>
      </rPr>
      <t xml:space="preserve"> Vicerrectoría Administrativa</t>
    </r>
  </si>
  <si>
    <t>CONTRIBUCIÓN DE LAS MATRICULAS AL FINANCIAMIENTO INSTITUCIONAL</t>
  </si>
  <si>
    <t xml:space="preserve">Aportes Nación </t>
  </si>
  <si>
    <t>Recursos Propios</t>
  </si>
  <si>
    <t>Ingresos por matrícula pregrado jornada especial</t>
  </si>
  <si>
    <t>VIGENCIA
2006</t>
  </si>
  <si>
    <t>VIGENCIA
2007</t>
  </si>
  <si>
    <t>VIGENCIA
2008</t>
  </si>
  <si>
    <t>VIGENCIA
2009</t>
  </si>
  <si>
    <t>VIGENCIA
2010</t>
  </si>
  <si>
    <t>TOTAL INGRESOS POR MATRÍCULAS</t>
  </si>
  <si>
    <t>TOTAL EJECUCIÓN PRESUPUESTAL DE GASTOS</t>
  </si>
  <si>
    <t>CONTRIBUCIÓN DEL ESTADO AL
FINANCIAMIENTO INSTITUCIONAL</t>
  </si>
  <si>
    <t>CONTRIBUCIÓN DE RECURSOS PROPIOS
AL FINANCIAMIENTO INSTITUCIONAL</t>
  </si>
  <si>
    <t>VIGENCIA
2011</t>
  </si>
  <si>
    <t>EJECUCION 2011</t>
  </si>
  <si>
    <t>Servicio a la Deuda</t>
  </si>
  <si>
    <t>EJECUCIÓN DE GASTOS EN INVERSIÓN (2006-2008)</t>
  </si>
  <si>
    <t>VALOR ASIGNADO
VIGENCIA 2011</t>
  </si>
  <si>
    <t>Objetivo 3: Bienestar Institucional</t>
  </si>
  <si>
    <t>Formación integral para el desarrollo humano</t>
  </si>
  <si>
    <t xml:space="preserve">Salud Integral </t>
  </si>
  <si>
    <t xml:space="preserve">Inclusión y Equidad social </t>
  </si>
  <si>
    <t>Observatorio social y Calidad de vida</t>
  </si>
  <si>
    <t>Gestión Estratégica</t>
  </si>
  <si>
    <t>Gestión Política Pública</t>
  </si>
  <si>
    <t>Transferencia de conocimiento</t>
  </si>
  <si>
    <t>Plataforma Natural del territorio</t>
  </si>
  <si>
    <t>SUB TOTAL
FUNCIONES MISIONALES</t>
  </si>
  <si>
    <t>N° PROYECTOS 2011</t>
  </si>
  <si>
    <t>VIGENCIA 2011</t>
  </si>
  <si>
    <t>CONTRIBUCIÓN DE LAS MATRICULAS AL FINANCIAMIENTO INSTITUCIONAL (2006-2012)</t>
  </si>
  <si>
    <t>CONTRIBUCIÓN DEL ESTADO AL FINANCIAMIENTO INSTITUCIONAL (2006-2012)</t>
  </si>
  <si>
    <t>EJECUCIÓN DE GASTOS EN INVERSIÓN (2006-2012)</t>
  </si>
  <si>
    <t>EJECUCIÓN DE GASTOS DE ACUERDO CON LAS FUNCIONES MISIONALES (2006-2012)</t>
  </si>
  <si>
    <t>DISTRIBUCIÓN DE PRESUPUESTO - ASIGNACIÓN A FACULTADES (2008-2012)</t>
  </si>
  <si>
    <t>INVERSIÓN FÍSICA Y TECNOLÓGICA (2006-2012)</t>
  </si>
  <si>
    <t>EFICIENCIA Y PRODUCTIVIDAD DE LA INVESTIGACIÓN (2006-2012)</t>
  </si>
  <si>
    <t>GENERACIÓN DE INGRESOS PROPIOS (2006-2012)</t>
  </si>
  <si>
    <t>TARIFAS DE MATRÍCULA UTP POR ESTRATO SOCIOECONÓMICO SEGÚN ORIGEN DEL COLEGIO</t>
  </si>
  <si>
    <t>INCENTIVOS</t>
  </si>
  <si>
    <r>
      <rPr>
        <b/>
        <sz val="10"/>
        <color indexed="8"/>
        <rFont val="Calibri"/>
        <family val="2"/>
        <scheme val="minor"/>
      </rPr>
      <t xml:space="preserve">Fuente: </t>
    </r>
    <r>
      <rPr>
        <sz val="10"/>
        <color indexed="8"/>
        <rFont val="Calibri"/>
        <family val="2"/>
        <scheme val="minor"/>
      </rPr>
      <t>Vicerrectoría Administrativa</t>
    </r>
  </si>
  <si>
    <r>
      <rPr>
        <b/>
        <sz val="10"/>
        <color indexed="8"/>
        <rFont val="Calibri"/>
        <family val="2"/>
        <scheme val="minor"/>
      </rPr>
      <t>Nota:</t>
    </r>
    <r>
      <rPr>
        <sz val="10"/>
        <color indexed="8"/>
        <rFont val="Calibri"/>
        <family val="2"/>
        <scheme val="minor"/>
      </rPr>
      <t xml:space="preserve"> Resolución 657 del 1 de abril de 2002, por medio de la cual se adopta un procedimiento especial de matrícula financiera por un programa de bienestar universitario, artículo primero: Una vez expirado el plazo previsto en el calendario académico para realizar la matrícula financiera, la sección de Bienestar Universitario evaluará las condiciones económicas que impidieron la matrícula financiera para los estudiantes de los estratos uno y dos y recomendara, si fuere el caso, el otorgamiento del subsidio de matrícula hasta por un ciento por ciento del valor liquidado.</t>
    </r>
  </si>
  <si>
    <r>
      <rPr>
        <b/>
        <sz val="10"/>
        <rFont val="Calibri"/>
        <family val="2"/>
        <scheme val="minor"/>
      </rPr>
      <t xml:space="preserve">Fuente: </t>
    </r>
    <r>
      <rPr>
        <sz val="10"/>
        <rFont val="Calibri"/>
        <family val="2"/>
        <scheme val="minor"/>
      </rPr>
      <t>Vicerrectoría Administrativa</t>
    </r>
  </si>
  <si>
    <t xml:space="preserve">NÚMERO DE
ESTUDIANTES </t>
  </si>
  <si>
    <t>PROMEDIO DE VALORES DE MATRÍCULA DE PROGRAMAS NO SUBSIDIADOS 2012</t>
  </si>
  <si>
    <t>PROMEDIO DE VALORES DE MATRÍCULA DE PROGRAMAS SUBSIDIADOS 2012</t>
  </si>
  <si>
    <t>PROMEDIO DE VALORES DE MATRÍCULA POR PROGRAMA ACADÉMICO</t>
  </si>
  <si>
    <t>PROMEDIO
VALOR MATRÍCULA</t>
  </si>
  <si>
    <r>
      <t>* Programas que no se ofrecen, la población estudiantil está terminando su proceso de formación de la última cohorte (egresados).</t>
    </r>
    <r>
      <rPr>
        <b/>
        <sz val="10"/>
        <color theme="1"/>
        <rFont val="Calibri"/>
        <family val="2"/>
        <scheme val="minor"/>
      </rPr>
      <t/>
    </r>
  </si>
  <si>
    <t>Licenciatura en Lengua Inglesa</t>
  </si>
  <si>
    <t>Tecnología</t>
  </si>
  <si>
    <t>VIGENCIA
2012</t>
  </si>
  <si>
    <t>EJECUCION 2012</t>
  </si>
  <si>
    <t>DISTRIBUCIÓN DE PRESUPUESTO (2006-2012)</t>
  </si>
  <si>
    <t>PRESUPUESTO 
2006</t>
  </si>
  <si>
    <t>PRESUPUESTO 
2007</t>
  </si>
  <si>
    <t>PRESUPUESTO
 2008</t>
  </si>
  <si>
    <t>PRESUPUESTO 
2009</t>
  </si>
  <si>
    <t>PRESUPUESTO 
2010</t>
  </si>
  <si>
    <t>PRESUPUESTO 
2011</t>
  </si>
  <si>
    <t>PRESUPUESTO 
2012</t>
  </si>
  <si>
    <t>VIGENCIA</t>
  </si>
  <si>
    <t>EJECUCIÓN</t>
  </si>
  <si>
    <t>PORCENTAJE</t>
  </si>
  <si>
    <t>FUNCIONAMIENTO</t>
  </si>
  <si>
    <t>INVERSIÓN</t>
  </si>
  <si>
    <t>EJECUCIÓN DE GASTOS QUE SE DEDICAN A FUNCIONAMIENTO E INVERSIÓN</t>
  </si>
  <si>
    <t>PORCENTAJE DE EJECUCIÓN DE GASTOS QUE SE DEDICAN A FUNCIONAMIENTO E
INVERSIÓN (2006-2012)</t>
  </si>
  <si>
    <t>VALOR ASIGNADO
VIGENCIA 2012</t>
  </si>
  <si>
    <r>
      <rPr>
        <b/>
        <sz val="10"/>
        <color indexed="8"/>
        <rFont val="Calibri"/>
        <family val="2"/>
        <scheme val="minor"/>
      </rPr>
      <t>Nota:</t>
    </r>
    <r>
      <rPr>
        <sz val="10"/>
        <color indexed="8"/>
        <rFont val="Calibri"/>
        <family val="2"/>
        <scheme val="minor"/>
      </rPr>
      <t xml:space="preserve"> Desde la vigencia 2009, los recursos destinados a Inversión financian los proyectos del Plan de Desarrollo Institucional.</t>
    </r>
  </si>
  <si>
    <t>EJECUCIÓN DE GASTOS EN INVERSIÓN (2009-2012)</t>
  </si>
  <si>
    <t xml:space="preserve">Ingresos por matrícula posgrado </t>
  </si>
  <si>
    <t>Ingresos por matrícula pregrado jornada normal</t>
  </si>
  <si>
    <t>FUNCIONES MISIONALES</t>
  </si>
  <si>
    <t>DOCENCIA</t>
  </si>
  <si>
    <t>INVESTIGACIÓN</t>
  </si>
  <si>
    <t>EXTENSIÓN</t>
  </si>
  <si>
    <t>PLANTA FÍSICA</t>
  </si>
  <si>
    <t>TOTAL
EJECUCIÓN</t>
  </si>
  <si>
    <t>N° PROYECTOS 2012</t>
  </si>
  <si>
    <t>Posgrado</t>
  </si>
  <si>
    <t>EJECUCIÓN DE GASTOS EN PROYECTOS POR OPERACIÓN COMERCIAL Y CONVOCATORIA PARCE</t>
  </si>
  <si>
    <t>EJECUCIÓN
2006</t>
  </si>
  <si>
    <t>EJECUCIÓN
2007</t>
  </si>
  <si>
    <t>EJECUCIÓN
2008</t>
  </si>
  <si>
    <t>EJECUCIÓN
2009</t>
  </si>
  <si>
    <t>EJECUCIÓN
2010</t>
  </si>
  <si>
    <t>EJECUCIÓN
2011</t>
  </si>
  <si>
    <t>EJECUCIÓN
2012</t>
  </si>
  <si>
    <t>VIGENCIA 2012</t>
  </si>
  <si>
    <t>Facultad de Tecnología</t>
  </si>
  <si>
    <t>DISTRIBUCIÓN DE PRESUPUESTO - ASIGNACIÓN A FACULTADES (2010-2012)</t>
  </si>
  <si>
    <t>DISTRIBUCIÓN DE PRESUPUESTO - ASIGNACIÓN A FACULTADES (2008-2009)</t>
  </si>
  <si>
    <r>
      <rPr>
        <b/>
        <sz val="10"/>
        <rFont val="Calibri"/>
        <family val="2"/>
        <scheme val="minor"/>
      </rPr>
      <t xml:space="preserve">NOTA: </t>
    </r>
    <r>
      <rPr>
        <sz val="10"/>
        <rFont val="Calibri"/>
        <family val="2"/>
        <scheme val="minor"/>
      </rPr>
      <t xml:space="preserve">El </t>
    </r>
    <r>
      <rPr>
        <b/>
        <sz val="10"/>
        <rFont val="Calibri"/>
        <family val="2"/>
        <scheme val="minor"/>
      </rPr>
      <t xml:space="preserve">170,7% </t>
    </r>
    <r>
      <rPr>
        <sz val="10"/>
        <rFont val="Calibri"/>
        <family val="2"/>
        <scheme val="minor"/>
      </rPr>
      <t>correspondiente al 2009 se debe a que el número de horas ejecutadas dedicadas a investigación fue superior al numero de horas proyectadas para las cuales se tuvo en cuenta los datos de la vigencia 2008.</t>
    </r>
  </si>
  <si>
    <t>ESTRATO I</t>
  </si>
  <si>
    <t>ESTRATO II</t>
  </si>
  <si>
    <t>ESTRATO III</t>
  </si>
  <si>
    <t>ESTRATO IV</t>
  </si>
  <si>
    <t>ESTRATO V</t>
  </si>
  <si>
    <t>ESTRATO VI</t>
  </si>
  <si>
    <t>ESTUDIANTES DE INTERCAMBIO</t>
  </si>
  <si>
    <t>N° estudiantes becados</t>
  </si>
  <si>
    <t>Total subsidios de dinero</t>
  </si>
  <si>
    <t>SIN
CLASIFICAR</t>
  </si>
  <si>
    <t>IDENTIFICAR LOS MECANISMOS INSTITUCIONALES DE DISCRIMINACIÓN POSITIVA QUE FACILITAN LA PERMANENCIA DE ESTUDIANTES DE PREGRADO DE MENORES RECURSOS EN LA ENTIDAD DE ACUERDO CON LA ESTRUCTURA DE BECAS Y SUBSIDIOS</t>
  </si>
  <si>
    <t>TOTAL ESTUDIANTES BECADOS</t>
  </si>
  <si>
    <t>% ESTUDIANTES BECADOS POR ESTRATO</t>
  </si>
  <si>
    <t>TOTAL SUBSIDIOS EN DINERO</t>
  </si>
  <si>
    <t>% SUBSIDIOS EN DINERO POR ESTRATO</t>
  </si>
  <si>
    <r>
      <t>Nota:</t>
    </r>
    <r>
      <rPr>
        <sz val="10"/>
        <color indexed="8"/>
        <rFont val="Calibri"/>
        <family val="2"/>
        <scheme val="minor"/>
      </rPr>
      <t xml:space="preserve"> acuerdo No. 21 del 19 de septiembre de 2003, por medio de la cual se expiden normas para la liquidación de matrículas en los programas de pregrado, articulo segundo: para liquidar los derechos de matrícula con base en los documentos descritos en el artículo anterior se utilizará la siguiente tabla en porcentajes de SMMLV. Para el 2012, las matrículas no cambiaron respecto al año anterior.</t>
    </r>
  </si>
  <si>
    <t>TARIFAS DE MATRÍCULA UTP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</si>
</sst>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quot;$&quot;\ #,##0"/>
  </numFmts>
  <fonts count="29" x14ac:knownFonts="1">
    <font>
      <sz val="11"/>
      <color theme="1"/>
      <name val="Calibri"/>
      <family val="2"/>
      <scheme val="minor"/>
    </font>
    <font>
      <b/>
      <sz val="10"/>
      <color indexed="8"/>
      <name val="Calibri"/>
      <family val="2"/>
    </font>
    <font>
      <sz val="10"/>
      <color indexed="8"/>
      <name val="Calibri"/>
      <family val="2"/>
    </font>
    <font>
      <sz val="10"/>
      <name val="Calibri"/>
      <family val="2"/>
    </font>
    <font>
      <sz val="10"/>
      <name val="Arial"/>
      <family val="2"/>
    </font>
    <font>
      <sz val="11"/>
      <color theme="1"/>
      <name val="Calibri"/>
      <family val="2"/>
      <scheme val="minor"/>
    </font>
    <font>
      <sz val="11"/>
      <color theme="0"/>
      <name val="Calibri"/>
      <family val="2"/>
      <scheme val="minor"/>
    </font>
    <font>
      <u/>
      <sz val="11"/>
      <color theme="10"/>
      <name val="Calibri"/>
      <family val="2"/>
    </font>
    <font>
      <sz val="10"/>
      <color theme="1"/>
      <name val="Calibri"/>
      <family val="2"/>
      <scheme val="minor"/>
    </font>
    <font>
      <b/>
      <sz val="10"/>
      <color theme="1"/>
      <name val="Calibri"/>
      <family val="2"/>
      <scheme val="minor"/>
    </font>
    <font>
      <b/>
      <sz val="12"/>
      <name val="Calibri"/>
      <family val="2"/>
      <scheme val="minor"/>
    </font>
    <font>
      <sz val="12"/>
      <color theme="1"/>
      <name val="Calibri"/>
      <family val="2"/>
      <scheme val="minor"/>
    </font>
    <font>
      <sz val="10"/>
      <name val="Calibri"/>
      <family val="2"/>
      <scheme val="minor"/>
    </font>
    <font>
      <b/>
      <sz val="10"/>
      <name val="Calibri"/>
      <family val="2"/>
      <scheme val="minor"/>
    </font>
    <font>
      <b/>
      <sz val="12"/>
      <color theme="1"/>
      <name val="Calibri"/>
      <family val="2"/>
      <scheme val="minor"/>
    </font>
    <font>
      <b/>
      <sz val="10"/>
      <color rgb="FF1F497D"/>
      <name val="Calibri"/>
      <family val="2"/>
      <scheme val="minor"/>
    </font>
    <font>
      <sz val="10"/>
      <color indexed="8"/>
      <name val="Calibri"/>
      <family val="2"/>
      <scheme val="minor"/>
    </font>
    <font>
      <b/>
      <sz val="10"/>
      <color theme="0"/>
      <name val="Calibri"/>
      <family val="2"/>
      <scheme val="minor"/>
    </font>
    <font>
      <sz val="9"/>
      <name val="Tahoma"/>
      <family val="2"/>
    </font>
    <font>
      <b/>
      <sz val="10"/>
      <color indexed="8"/>
      <name val="Calibri"/>
      <family val="2"/>
      <scheme val="minor"/>
    </font>
    <font>
      <sz val="10"/>
      <color theme="0"/>
      <name val="Calibri"/>
      <family val="2"/>
      <scheme val="minor"/>
    </font>
    <font>
      <u/>
      <sz val="10"/>
      <color theme="0"/>
      <name val="Calibri"/>
      <family val="2"/>
      <scheme val="minor"/>
    </font>
    <font>
      <sz val="10"/>
      <color theme="1"/>
      <name val="Calibri"/>
      <family val="2"/>
    </font>
    <font>
      <u/>
      <sz val="10"/>
      <color theme="10"/>
      <name val="Calibri"/>
      <family val="2"/>
    </font>
    <font>
      <b/>
      <sz val="10"/>
      <color theme="1"/>
      <name val="Calibri"/>
      <family val="2"/>
    </font>
    <font>
      <sz val="20"/>
      <color theme="0"/>
      <name val="Calibri"/>
      <family val="2"/>
      <scheme val="minor"/>
    </font>
    <font>
      <b/>
      <sz val="20"/>
      <color theme="0"/>
      <name val="Calibri"/>
      <family val="2"/>
      <scheme val="minor"/>
    </font>
    <font>
      <sz val="12"/>
      <color theme="0"/>
      <name val="Calibri"/>
      <family val="2"/>
      <scheme val="minor"/>
    </font>
    <font>
      <b/>
      <sz val="12"/>
      <color theme="0"/>
      <name val="Calibri"/>
      <family val="2"/>
      <scheme val="minor"/>
    </font>
  </fonts>
  <fills count="12">
    <fill>
      <patternFill patternType="none"/>
    </fill>
    <fill>
      <patternFill patternType="gray125"/>
    </fill>
    <fill>
      <patternFill patternType="solid">
        <fgColor indexed="65"/>
        <bgColor indexed="64"/>
      </patternFill>
    </fill>
    <fill>
      <patternFill patternType="solid">
        <fgColor indexed="65"/>
      </patternFill>
    </fill>
    <fill>
      <patternFill patternType="solid">
        <fgColor theme="4" tint="0.39997558519241921"/>
        <bgColor indexed="65"/>
      </patternFill>
    </fill>
    <fill>
      <patternFill patternType="solid">
        <fgColor rgb="FFFFFFFF"/>
        <bgColor indexed="64"/>
      </patternFill>
    </fill>
    <fill>
      <patternFill patternType="solid">
        <fgColor indexed="65"/>
        <bgColor theme="0"/>
      </patternFill>
    </fill>
    <fill>
      <patternFill patternType="solid">
        <fgColor theme="4" tint="0.79998168889431442"/>
        <bgColor indexed="64"/>
      </patternFill>
    </fill>
    <fill>
      <patternFill patternType="solid">
        <fgColor theme="0"/>
        <bgColor indexed="64"/>
      </patternFill>
    </fill>
    <fill>
      <patternFill patternType="solid">
        <fgColor theme="4"/>
      </patternFill>
    </fill>
    <fill>
      <patternFill patternType="solid">
        <fgColor theme="4"/>
        <bgColor indexed="64"/>
      </patternFill>
    </fill>
    <fill>
      <patternFill patternType="solid">
        <fgColor theme="4"/>
        <bgColor theme="0"/>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s>
  <cellStyleXfs count="7">
    <xf numFmtId="0" fontId="0" fillId="0" borderId="0"/>
    <xf numFmtId="0" fontId="6" fillId="4" borderId="0" applyNumberFormat="0" applyBorder="0" applyAlignment="0" applyProtection="0"/>
    <xf numFmtId="0" fontId="7" fillId="0" borderId="0" applyNumberFormat="0" applyFill="0" applyBorder="0" applyAlignment="0" applyProtection="0">
      <alignment vertical="top"/>
      <protection locked="0"/>
    </xf>
    <xf numFmtId="43" fontId="5" fillId="0" borderId="0" applyFont="0" applyFill="0" applyBorder="0" applyAlignment="0" applyProtection="0"/>
    <xf numFmtId="0" fontId="4" fillId="0" borderId="0"/>
    <xf numFmtId="9" fontId="5" fillId="0" borderId="0" applyFont="0" applyFill="0" applyBorder="0" applyAlignment="0" applyProtection="0"/>
    <xf numFmtId="0" fontId="5" fillId="0" borderId="0"/>
  </cellStyleXfs>
  <cellXfs count="191">
    <xf numFmtId="0" fontId="0" fillId="0" borderId="0" xfId="0"/>
    <xf numFmtId="0" fontId="8" fillId="2" borderId="0" xfId="0" applyFont="1" applyFill="1" applyAlignment="1">
      <alignment horizontal="center" vertical="center"/>
    </xf>
    <xf numFmtId="3" fontId="8" fillId="2" borderId="2" xfId="0" applyNumberFormat="1" applyFont="1" applyFill="1" applyBorder="1" applyAlignment="1">
      <alignment horizontal="center" vertical="center" wrapText="1"/>
    </xf>
    <xf numFmtId="0" fontId="8" fillId="2" borderId="0" xfId="0" applyFont="1" applyFill="1" applyAlignment="1">
      <alignment horizontal="left" vertical="center"/>
    </xf>
    <xf numFmtId="0" fontId="8" fillId="2" borderId="0" xfId="0" applyFont="1" applyFill="1" applyAlignment="1">
      <alignmen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wrapText="1"/>
    </xf>
    <xf numFmtId="0" fontId="9" fillId="2" borderId="0" xfId="0" applyFont="1" applyFill="1" applyAlignment="1">
      <alignment horizontal="left" vertical="center"/>
    </xf>
    <xf numFmtId="0" fontId="8" fillId="0" borderId="2" xfId="0" applyFont="1" applyFill="1" applyBorder="1" applyAlignment="1">
      <alignment vertical="center" wrapText="1"/>
    </xf>
    <xf numFmtId="3"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wrapText="1"/>
    </xf>
    <xf numFmtId="1"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3" fontId="8" fillId="2" borderId="2" xfId="0" applyNumberFormat="1" applyFont="1" applyFill="1" applyBorder="1" applyAlignment="1">
      <alignment horizontal="center" vertical="center"/>
    </xf>
    <xf numFmtId="1" fontId="8" fillId="2" borderId="0" xfId="0" applyNumberFormat="1" applyFont="1" applyFill="1" applyAlignment="1">
      <alignment vertical="center"/>
    </xf>
    <xf numFmtId="0" fontId="12" fillId="0" borderId="2" xfId="0" applyFont="1" applyFill="1" applyBorder="1" applyAlignment="1">
      <alignment horizontal="left" vertical="center" wrapText="1"/>
    </xf>
    <xf numFmtId="3" fontId="8" fillId="2" borderId="4" xfId="0" applyNumberFormat="1" applyFont="1" applyFill="1" applyBorder="1" applyAlignment="1">
      <alignment horizontal="center" vertical="center"/>
    </xf>
    <xf numFmtId="0" fontId="11" fillId="2" borderId="0" xfId="0" applyFont="1" applyFill="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justify" vertical="center"/>
    </xf>
    <xf numFmtId="0" fontId="8" fillId="5" borderId="2" xfId="0" applyFont="1" applyFill="1" applyBorder="1" applyAlignment="1">
      <alignment horizontal="left" vertical="center" wrapText="1"/>
    </xf>
    <xf numFmtId="3" fontId="8" fillId="2" borderId="0" xfId="0" applyNumberFormat="1" applyFont="1" applyFill="1" applyAlignment="1">
      <alignment horizontal="center" vertical="center"/>
    </xf>
    <xf numFmtId="0" fontId="13" fillId="2" borderId="0" xfId="0" applyFont="1" applyFill="1" applyAlignment="1">
      <alignment horizontal="left" vertical="center"/>
    </xf>
    <xf numFmtId="0" fontId="12" fillId="3" borderId="2" xfId="0" applyFont="1" applyFill="1" applyBorder="1" applyAlignment="1">
      <alignment vertical="center" wrapText="1"/>
    </xf>
    <xf numFmtId="3" fontId="12" fillId="3" borderId="2" xfId="0" applyNumberFormat="1" applyFont="1" applyFill="1" applyBorder="1" applyAlignment="1">
      <alignment horizontal="center" vertical="center" wrapText="1"/>
    </xf>
    <xf numFmtId="165" fontId="12" fillId="3" borderId="0" xfId="3" applyNumberFormat="1" applyFont="1" applyFill="1" applyAlignment="1">
      <alignment horizontal="center" vertical="center"/>
    </xf>
    <xf numFmtId="0" fontId="12" fillId="3" borderId="0" xfId="0" applyFont="1" applyFill="1" applyAlignment="1">
      <alignment horizontal="left" vertical="center"/>
    </xf>
    <xf numFmtId="0" fontId="8" fillId="0" borderId="2" xfId="0" applyFont="1" applyBorder="1" applyAlignment="1">
      <alignment vertical="center" wrapText="1"/>
    </xf>
    <xf numFmtId="0" fontId="12" fillId="0" borderId="2" xfId="0" applyFont="1" applyBorder="1" applyAlignment="1">
      <alignment horizontal="center" vertical="center" wrapText="1"/>
    </xf>
    <xf numFmtId="0" fontId="8" fillId="2" borderId="0" xfId="0" applyFont="1" applyFill="1" applyBorder="1" applyAlignment="1">
      <alignment horizontal="center" vertical="center"/>
    </xf>
    <xf numFmtId="0" fontId="14" fillId="2" borderId="0" xfId="6" applyFont="1" applyFill="1" applyAlignment="1">
      <alignment horizontal="center" vertical="center"/>
    </xf>
    <xf numFmtId="0" fontId="14" fillId="2" borderId="0" xfId="0" applyFont="1" applyFill="1" applyAlignment="1">
      <alignment horizontal="center" vertical="center"/>
    </xf>
    <xf numFmtId="0" fontId="14" fillId="6" borderId="0" xfId="0" applyFont="1" applyFill="1" applyAlignment="1">
      <alignment horizontal="center" vertical="center"/>
    </xf>
    <xf numFmtId="0" fontId="10" fillId="2" borderId="0" xfId="0" applyFont="1" applyFill="1" applyAlignment="1">
      <alignment horizontal="center" vertical="center" wrapText="1"/>
    </xf>
    <xf numFmtId="0" fontId="20" fillId="10" borderId="0" xfId="0" applyFont="1" applyFill="1" applyAlignment="1">
      <alignment horizontal="center" vertical="center"/>
    </xf>
    <xf numFmtId="0" fontId="17" fillId="10" borderId="0" xfId="0" applyFont="1" applyFill="1" applyAlignment="1">
      <alignment horizontal="center" vertical="center"/>
    </xf>
    <xf numFmtId="0" fontId="21" fillId="10" borderId="0" xfId="2" applyFont="1" applyFill="1" applyAlignment="1" applyProtection="1">
      <alignment horizontal="center" vertical="center"/>
    </xf>
    <xf numFmtId="0" fontId="22" fillId="10" borderId="0" xfId="0" applyFont="1" applyFill="1" applyAlignment="1">
      <alignment vertical="center"/>
    </xf>
    <xf numFmtId="0" fontId="23" fillId="10" borderId="0" xfId="2" applyFont="1" applyFill="1" applyAlignment="1" applyProtection="1">
      <alignment vertical="center" wrapText="1"/>
    </xf>
    <xf numFmtId="0" fontId="22" fillId="10" borderId="0" xfId="0" applyFont="1" applyFill="1" applyAlignment="1">
      <alignment vertical="center" wrapText="1"/>
    </xf>
    <xf numFmtId="0" fontId="22" fillId="8" borderId="15" xfId="0" applyFont="1" applyFill="1" applyBorder="1" applyProtection="1"/>
    <xf numFmtId="0" fontId="22" fillId="8" borderId="16" xfId="0" applyFont="1" applyFill="1" applyBorder="1" applyProtection="1"/>
    <xf numFmtId="0" fontId="22" fillId="8" borderId="17" xfId="0" applyFont="1" applyFill="1" applyBorder="1" applyProtection="1"/>
    <xf numFmtId="0" fontId="22" fillId="8" borderId="18" xfId="0" applyFont="1" applyFill="1" applyBorder="1" applyProtection="1"/>
    <xf numFmtId="0" fontId="24" fillId="8" borderId="0" xfId="0" applyFont="1" applyFill="1" applyBorder="1" applyAlignment="1" applyProtection="1">
      <alignment horizontal="center"/>
    </xf>
    <xf numFmtId="0" fontId="22" fillId="8" borderId="19" xfId="0" applyFont="1" applyFill="1" applyBorder="1" applyProtection="1"/>
    <xf numFmtId="0" fontId="22" fillId="8" borderId="0" xfId="0" applyFont="1" applyFill="1" applyBorder="1" applyProtection="1"/>
    <xf numFmtId="0" fontId="22" fillId="8" borderId="20" xfId="0" applyFont="1" applyFill="1" applyBorder="1" applyProtection="1"/>
    <xf numFmtId="0" fontId="22" fillId="8" borderId="21" xfId="0" applyFont="1" applyFill="1" applyBorder="1" applyProtection="1"/>
    <xf numFmtId="0" fontId="22" fillId="8" borderId="22" xfId="0" applyFont="1" applyFill="1" applyBorder="1" applyProtection="1"/>
    <xf numFmtId="0" fontId="22" fillId="10" borderId="0" xfId="0" applyFont="1" applyFill="1"/>
    <xf numFmtId="0" fontId="24" fillId="10" borderId="0" xfId="0" applyFont="1" applyFill="1" applyAlignment="1">
      <alignment horizontal="center"/>
    </xf>
    <xf numFmtId="3" fontId="8" fillId="2" borderId="0" xfId="0" applyNumberFormat="1" applyFont="1" applyFill="1" applyAlignment="1">
      <alignment vertical="center"/>
    </xf>
    <xf numFmtId="0" fontId="13" fillId="2" borderId="0" xfId="0" applyFont="1" applyFill="1" applyAlignment="1">
      <alignment horizontal="center" vertical="center" wrapText="1"/>
    </xf>
    <xf numFmtId="0" fontId="8" fillId="6" borderId="0" xfId="0" applyFont="1" applyFill="1" applyAlignment="1">
      <alignment horizontal="center" vertical="center"/>
    </xf>
    <xf numFmtId="0" fontId="15" fillId="6" borderId="0" xfId="0" applyFont="1" applyFill="1" applyAlignment="1">
      <alignment horizontal="center" vertical="center"/>
    </xf>
    <xf numFmtId="0" fontId="12" fillId="3" borderId="0" xfId="0" applyFont="1" applyFill="1" applyAlignment="1">
      <alignment horizontal="center" vertical="center"/>
    </xf>
    <xf numFmtId="0" fontId="20" fillId="11" borderId="0" xfId="0" applyFont="1" applyFill="1" applyAlignment="1">
      <alignment horizontal="center" vertical="center"/>
    </xf>
    <xf numFmtId="0" fontId="20" fillId="9" borderId="0" xfId="0" applyFont="1" applyFill="1" applyAlignment="1">
      <alignment horizontal="center" vertical="center"/>
    </xf>
    <xf numFmtId="0" fontId="25" fillId="10" borderId="0" xfId="0" applyFont="1" applyFill="1" applyBorder="1" applyAlignment="1">
      <alignment horizontal="center" vertical="center"/>
    </xf>
    <xf numFmtId="0" fontId="27" fillId="10" borderId="0" xfId="0" applyFont="1" applyFill="1" applyAlignment="1">
      <alignment horizontal="center" vertical="center"/>
    </xf>
    <xf numFmtId="0" fontId="17" fillId="10" borderId="2" xfId="0" applyFont="1" applyFill="1" applyBorder="1" applyAlignment="1">
      <alignment horizontal="center" vertical="center" wrapText="1"/>
    </xf>
    <xf numFmtId="3" fontId="17" fillId="10" borderId="2" xfId="0" applyNumberFormat="1" applyFont="1" applyFill="1" applyBorder="1" applyAlignment="1">
      <alignment horizontal="center" vertical="center"/>
    </xf>
    <xf numFmtId="0" fontId="28" fillId="10" borderId="0" xfId="0" applyFont="1" applyFill="1" applyAlignment="1">
      <alignment horizontal="center" vertical="center"/>
    </xf>
    <xf numFmtId="166" fontId="8" fillId="2" borderId="2" xfId="0" applyNumberFormat="1" applyFont="1" applyFill="1" applyBorder="1" applyAlignment="1">
      <alignment horizontal="center" vertical="center"/>
    </xf>
    <xf numFmtId="166" fontId="17" fillId="10" borderId="2"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166" fontId="9" fillId="2" borderId="2" xfId="0" applyNumberFormat="1" applyFont="1" applyFill="1" applyBorder="1" applyAlignment="1">
      <alignment horizontal="center" vertical="center"/>
    </xf>
    <xf numFmtId="0" fontId="17" fillId="10" borderId="3" xfId="0" applyFont="1" applyFill="1" applyBorder="1" applyAlignment="1">
      <alignment horizontal="center" vertical="center" wrapText="1"/>
    </xf>
    <xf numFmtId="0" fontId="17" fillId="10" borderId="4" xfId="0" applyFont="1" applyFill="1" applyBorder="1" applyAlignment="1">
      <alignment horizontal="center" vertical="center" wrapText="1"/>
    </xf>
    <xf numFmtId="3" fontId="17" fillId="10" borderId="4" xfId="0" applyNumberFormat="1" applyFont="1" applyFill="1" applyBorder="1" applyAlignment="1">
      <alignment horizontal="center" vertical="center"/>
    </xf>
    <xf numFmtId="166" fontId="8" fillId="2" borderId="3" xfId="0" applyNumberFormat="1" applyFont="1" applyFill="1" applyBorder="1" applyAlignment="1">
      <alignment horizontal="center" vertical="center"/>
    </xf>
    <xf numFmtId="166" fontId="17" fillId="10" borderId="3" xfId="0" applyNumberFormat="1" applyFont="1" applyFill="1" applyBorder="1" applyAlignment="1">
      <alignment horizontal="center" vertical="center"/>
    </xf>
    <xf numFmtId="166" fontId="9" fillId="2" borderId="3"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3" fontId="17" fillId="10" borderId="2" xfId="0" applyNumberFormat="1" applyFont="1" applyFill="1" applyBorder="1" applyAlignment="1">
      <alignment horizontal="center" vertical="center" wrapText="1"/>
    </xf>
    <xf numFmtId="164" fontId="17" fillId="10" borderId="2" xfId="0" applyNumberFormat="1" applyFont="1" applyFill="1" applyBorder="1" applyAlignment="1">
      <alignment horizontal="center" vertical="center" wrapText="1"/>
    </xf>
    <xf numFmtId="3" fontId="12" fillId="3" borderId="0" xfId="0" applyNumberFormat="1" applyFont="1" applyFill="1" applyAlignment="1">
      <alignment horizontal="center" vertical="center"/>
    </xf>
    <xf numFmtId="0" fontId="17" fillId="10" borderId="2" xfId="0" applyFont="1" applyFill="1" applyBorder="1" applyAlignment="1">
      <alignment horizontal="center" vertical="center"/>
    </xf>
    <xf numFmtId="0" fontId="28" fillId="11" borderId="0" xfId="0" applyFont="1" applyFill="1" applyAlignment="1">
      <alignment horizontal="center" vertical="center"/>
    </xf>
    <xf numFmtId="166" fontId="8" fillId="0" borderId="2" xfId="0" applyNumberFormat="1" applyFont="1" applyFill="1" applyBorder="1" applyAlignment="1">
      <alignment horizontal="center" vertical="center" wrapText="1"/>
    </xf>
    <xf numFmtId="164" fontId="8" fillId="0" borderId="3" xfId="5"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17" fillId="10" borderId="32" xfId="0" applyFont="1" applyFill="1" applyBorder="1" applyAlignment="1">
      <alignment horizontal="center" vertical="center" wrapText="1"/>
    </xf>
    <xf numFmtId="166" fontId="8" fillId="0" borderId="4" xfId="0" applyNumberFormat="1" applyFont="1" applyFill="1" applyBorder="1" applyAlignment="1">
      <alignment horizontal="center" vertical="center" wrapText="1"/>
    </xf>
    <xf numFmtId="164" fontId="8" fillId="0" borderId="32" xfId="5" applyNumberFormat="1" applyFont="1" applyFill="1" applyBorder="1" applyAlignment="1">
      <alignment horizontal="center" vertical="center" wrapText="1"/>
    </xf>
    <xf numFmtId="0" fontId="17" fillId="10" borderId="2" xfId="0" applyFont="1" applyFill="1" applyBorder="1" applyAlignment="1">
      <alignment vertical="center" wrapText="1"/>
    </xf>
    <xf numFmtId="166" fontId="17" fillId="10" borderId="2" xfId="0" applyNumberFormat="1" applyFont="1" applyFill="1" applyBorder="1" applyAlignment="1">
      <alignment horizontal="center" vertical="center" wrapText="1"/>
    </xf>
    <xf numFmtId="166" fontId="18" fillId="8" borderId="2" xfId="0" applyNumberFormat="1" applyFont="1" applyFill="1" applyBorder="1" applyAlignment="1">
      <alignment horizontal="center" vertical="center" wrapText="1"/>
    </xf>
    <xf numFmtId="166" fontId="8" fillId="0" borderId="2" xfId="0" applyNumberFormat="1" applyFont="1" applyFill="1" applyBorder="1" applyAlignment="1">
      <alignment vertical="center" wrapText="1"/>
    </xf>
    <xf numFmtId="166" fontId="8" fillId="0" borderId="2" xfId="0" applyNumberFormat="1" applyFont="1" applyBorder="1" applyAlignment="1">
      <alignment horizontal="center" vertical="center" wrapText="1"/>
    </xf>
    <xf numFmtId="166" fontId="12" fillId="3" borderId="2" xfId="0" applyNumberFormat="1" applyFont="1" applyFill="1" applyBorder="1" applyAlignment="1">
      <alignment horizontal="center" vertical="center" wrapText="1"/>
    </xf>
    <xf numFmtId="166" fontId="9" fillId="0" borderId="13" xfId="0" applyNumberFormat="1" applyFont="1" applyFill="1" applyBorder="1" applyAlignment="1">
      <alignment horizontal="center" vertical="center" wrapText="1"/>
    </xf>
    <xf numFmtId="164" fontId="8" fillId="2" borderId="0" xfId="0" applyNumberFormat="1" applyFont="1" applyFill="1" applyAlignment="1">
      <alignment horizontal="center" vertical="center"/>
    </xf>
    <xf numFmtId="166" fontId="8" fillId="5" borderId="2" xfId="0" applyNumberFormat="1" applyFont="1" applyFill="1" applyBorder="1" applyAlignment="1">
      <alignment horizontal="center" vertical="center" wrapText="1"/>
    </xf>
    <xf numFmtId="0" fontId="17" fillId="10" borderId="4" xfId="0" applyFont="1" applyFill="1" applyBorder="1" applyAlignment="1">
      <alignment horizontal="center" vertical="center"/>
    </xf>
    <xf numFmtId="166" fontId="8" fillId="0" borderId="2" xfId="0" applyNumberFormat="1" applyFont="1" applyBorder="1" applyAlignment="1">
      <alignment horizontal="center" vertical="center"/>
    </xf>
    <xf numFmtId="166" fontId="8" fillId="0" borderId="3" xfId="0" applyNumberFormat="1" applyFont="1" applyBorder="1" applyAlignment="1">
      <alignment horizontal="center" vertical="center"/>
    </xf>
    <xf numFmtId="166" fontId="8" fillId="0" borderId="4" xfId="0" applyNumberFormat="1" applyFont="1" applyBorder="1" applyAlignment="1">
      <alignment horizontal="center" vertical="center"/>
    </xf>
    <xf numFmtId="166" fontId="17" fillId="10" borderId="4" xfId="0" applyNumberFormat="1" applyFont="1" applyFill="1" applyBorder="1" applyAlignment="1">
      <alignment horizontal="center" vertical="center"/>
    </xf>
    <xf numFmtId="166" fontId="8" fillId="2" borderId="0" xfId="0" applyNumberFormat="1" applyFont="1" applyFill="1" applyAlignment="1">
      <alignment horizontal="center" vertical="center"/>
    </xf>
    <xf numFmtId="0" fontId="17" fillId="10" borderId="2" xfId="1"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0" fontId="8" fillId="0" borderId="2" xfId="0" applyFont="1" applyFill="1" applyBorder="1" applyAlignment="1">
      <alignment vertical="center"/>
    </xf>
    <xf numFmtId="9" fontId="17" fillId="10" borderId="2" xfId="5" applyFont="1" applyFill="1" applyBorder="1" applyAlignment="1">
      <alignment horizontal="center" vertical="center" wrapText="1"/>
    </xf>
    <xf numFmtId="0" fontId="8" fillId="0" borderId="2" xfId="1" applyFont="1" applyFill="1" applyBorder="1" applyAlignment="1">
      <alignment horizontal="left" vertical="center" wrapText="1"/>
    </xf>
    <xf numFmtId="164" fontId="17" fillId="10" borderId="2" xfId="5" applyNumberFormat="1" applyFont="1" applyFill="1" applyBorder="1" applyAlignment="1">
      <alignment horizontal="center" vertical="center"/>
    </xf>
    <xf numFmtId="166" fontId="12" fillId="0" borderId="2" xfId="0" applyNumberFormat="1" applyFont="1" applyFill="1" applyBorder="1" applyAlignment="1">
      <alignment horizontal="center" vertical="center" wrapText="1"/>
    </xf>
    <xf numFmtId="166" fontId="9" fillId="0" borderId="2" xfId="1" applyNumberFormat="1" applyFont="1" applyFill="1" applyBorder="1" applyAlignment="1">
      <alignment horizontal="center" vertical="center" wrapText="1"/>
    </xf>
    <xf numFmtId="166" fontId="8" fillId="0" borderId="2" xfId="0" applyNumberFormat="1" applyFont="1" applyFill="1" applyBorder="1" applyAlignment="1">
      <alignment vertical="center"/>
    </xf>
    <xf numFmtId="0" fontId="8" fillId="2" borderId="2" xfId="0" applyFont="1" applyFill="1" applyBorder="1" applyAlignment="1">
      <alignment horizontal="center" vertical="center"/>
    </xf>
    <xf numFmtId="0" fontId="14" fillId="2" borderId="0" xfId="0" applyFont="1" applyFill="1" applyAlignment="1">
      <alignment horizontal="center" vertical="center"/>
    </xf>
    <xf numFmtId="0" fontId="8" fillId="2"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2" xfId="1" applyFont="1" applyFill="1" applyBorder="1" applyAlignment="1">
      <alignment horizontal="center" vertical="center" wrapText="1"/>
    </xf>
    <xf numFmtId="0" fontId="8" fillId="2" borderId="2" xfId="0" applyFont="1" applyFill="1" applyBorder="1" applyAlignment="1">
      <alignment horizontal="justify" vertical="center" wrapText="1"/>
    </xf>
    <xf numFmtId="3" fontId="17" fillId="10" borderId="2" xfId="1" applyNumberFormat="1" applyFont="1" applyFill="1" applyBorder="1" applyAlignment="1">
      <alignment horizontal="center" vertical="center" wrapText="1"/>
    </xf>
    <xf numFmtId="164" fontId="17" fillId="10" borderId="2" xfId="5"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17" fillId="10" borderId="4" xfId="0" applyFont="1" applyFill="1" applyBorder="1" applyAlignment="1">
      <alignment horizontal="center" vertical="center"/>
    </xf>
    <xf numFmtId="0" fontId="17" fillId="10" borderId="2" xfId="0" applyFont="1" applyFill="1" applyBorder="1" applyAlignment="1">
      <alignment horizontal="center" vertical="center"/>
    </xf>
    <xf numFmtId="0" fontId="12"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7" fillId="10" borderId="3" xfId="0" applyFont="1" applyFill="1" applyBorder="1" applyAlignment="1">
      <alignment horizontal="center" vertical="center"/>
    </xf>
    <xf numFmtId="0" fontId="26" fillId="10" borderId="0" xfId="0" applyFont="1" applyFill="1" applyBorder="1" applyAlignment="1">
      <alignment horizontal="center" vertical="center" wrapText="1"/>
    </xf>
    <xf numFmtId="0" fontId="14" fillId="2" borderId="0" xfId="6" applyFont="1" applyFill="1" applyAlignment="1">
      <alignment horizontal="center" vertical="center"/>
    </xf>
    <xf numFmtId="0" fontId="8" fillId="7" borderId="29" xfId="0" applyFont="1" applyFill="1" applyBorder="1" applyAlignment="1">
      <alignment horizontal="left" vertical="center" wrapText="1"/>
    </xf>
    <xf numFmtId="0" fontId="8" fillId="7" borderId="30"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4" fillId="2"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6" fillId="10" borderId="0" xfId="0" applyFont="1" applyFill="1" applyBorder="1" applyAlignment="1">
      <alignment horizontal="center" vertical="center"/>
    </xf>
    <xf numFmtId="0" fontId="14" fillId="6" borderId="0" xfId="0" applyFont="1" applyFill="1" applyAlignment="1">
      <alignment horizontal="center" vertical="center" wrapText="1"/>
    </xf>
    <xf numFmtId="0" fontId="17" fillId="10" borderId="2"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1" borderId="2" xfId="0" applyFont="1" applyFill="1" applyBorder="1" applyAlignment="1">
      <alignment horizontal="center" vertical="center"/>
    </xf>
    <xf numFmtId="0" fontId="17" fillId="10" borderId="1"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7" borderId="5" xfId="0" applyFont="1" applyFill="1" applyBorder="1" applyAlignment="1">
      <alignment horizontal="justify"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2" xfId="0" applyFont="1" applyBorder="1" applyAlignment="1">
      <alignment horizontal="justify" vertical="center"/>
    </xf>
    <xf numFmtId="0" fontId="17" fillId="10" borderId="33"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13" xfId="0" applyFont="1" applyFill="1" applyBorder="1" applyAlignment="1">
      <alignment horizontal="center" vertical="center"/>
    </xf>
    <xf numFmtId="0" fontId="17" fillId="10" borderId="14" xfId="0" applyFont="1" applyFill="1" applyBorder="1" applyAlignment="1">
      <alignment horizontal="center" vertical="center"/>
    </xf>
    <xf numFmtId="0" fontId="8" fillId="0" borderId="2" xfId="0" applyFont="1" applyFill="1" applyBorder="1" applyAlignment="1">
      <alignment horizontal="center" vertical="center" wrapText="1"/>
    </xf>
    <xf numFmtId="0" fontId="12" fillId="7" borderId="23" xfId="0" applyFont="1" applyFill="1" applyBorder="1" applyAlignment="1">
      <alignment horizontal="justify" vertical="center" wrapText="1"/>
    </xf>
    <xf numFmtId="0" fontId="12" fillId="7" borderId="24" xfId="0" applyFont="1" applyFill="1" applyBorder="1" applyAlignment="1">
      <alignment horizontal="justify" vertical="center" wrapText="1"/>
    </xf>
    <xf numFmtId="0" fontId="12" fillId="7" borderId="25" xfId="0" applyFont="1" applyFill="1" applyBorder="1" applyAlignment="1">
      <alignment horizontal="justify" vertical="center" wrapText="1"/>
    </xf>
    <xf numFmtId="0" fontId="12" fillId="7" borderId="26" xfId="0" applyFont="1" applyFill="1" applyBorder="1" applyAlignment="1">
      <alignment horizontal="justify" vertical="center" wrapText="1"/>
    </xf>
    <xf numFmtId="0" fontId="12" fillId="7" borderId="27" xfId="0" applyFont="1" applyFill="1" applyBorder="1" applyAlignment="1">
      <alignment horizontal="justify" vertical="center" wrapText="1"/>
    </xf>
    <xf numFmtId="0" fontId="12" fillId="7" borderId="28"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7" borderId="5" xfId="0" applyFont="1" applyFill="1" applyBorder="1" applyAlignment="1">
      <alignment horizontal="justify" vertical="center" wrapText="1"/>
    </xf>
    <xf numFmtId="0" fontId="9" fillId="7" borderId="6" xfId="0" applyFont="1" applyFill="1" applyBorder="1" applyAlignment="1">
      <alignment horizontal="justify" vertical="center" wrapText="1"/>
    </xf>
    <xf numFmtId="0" fontId="9" fillId="7" borderId="7" xfId="0" applyFont="1" applyFill="1" applyBorder="1" applyAlignment="1">
      <alignment horizontal="justify" vertical="center" wrapText="1"/>
    </xf>
    <xf numFmtId="0" fontId="9" fillId="7" borderId="8" xfId="0" applyFont="1" applyFill="1" applyBorder="1" applyAlignment="1">
      <alignment horizontal="justify" vertical="center" wrapText="1"/>
    </xf>
    <xf numFmtId="0" fontId="9" fillId="7" borderId="0" xfId="0" applyFont="1" applyFill="1" applyBorder="1" applyAlignment="1">
      <alignment horizontal="justify" vertical="center" wrapText="1"/>
    </xf>
    <xf numFmtId="0" fontId="9" fillId="7" borderId="9" xfId="0" applyFont="1" applyFill="1" applyBorder="1" applyAlignment="1">
      <alignment horizontal="justify" vertical="center" wrapText="1"/>
    </xf>
    <xf numFmtId="0" fontId="9" fillId="7" borderId="10" xfId="0" applyFont="1" applyFill="1" applyBorder="1" applyAlignment="1">
      <alignment horizontal="justify" vertical="center" wrapText="1"/>
    </xf>
    <xf numFmtId="0" fontId="9" fillId="7" borderId="11" xfId="0" applyFont="1" applyFill="1" applyBorder="1" applyAlignment="1">
      <alignment horizontal="justify" vertical="center" wrapText="1"/>
    </xf>
    <xf numFmtId="0" fontId="9" fillId="7" borderId="12" xfId="0" applyFont="1" applyFill="1" applyBorder="1" applyAlignment="1">
      <alignment horizontal="justify" vertical="center" wrapText="1"/>
    </xf>
    <xf numFmtId="0" fontId="8" fillId="7" borderId="5" xfId="0" applyFont="1" applyFill="1" applyBorder="1" applyAlignment="1">
      <alignment horizontal="justify" vertical="center" wrapText="1"/>
    </xf>
    <xf numFmtId="0" fontId="8" fillId="7" borderId="6" xfId="0" applyFont="1" applyFill="1" applyBorder="1" applyAlignment="1">
      <alignment horizontal="justify" vertical="center" wrapText="1"/>
    </xf>
    <xf numFmtId="0" fontId="8" fillId="7" borderId="7" xfId="0" applyFont="1" applyFill="1" applyBorder="1" applyAlignment="1">
      <alignment horizontal="justify" vertical="center" wrapText="1"/>
    </xf>
    <xf numFmtId="0" fontId="8" fillId="7" borderId="8" xfId="0" applyFont="1" applyFill="1" applyBorder="1" applyAlignment="1">
      <alignment horizontal="justify" vertical="center" wrapText="1"/>
    </xf>
    <xf numFmtId="0" fontId="8" fillId="7" borderId="0" xfId="0" applyFont="1" applyFill="1" applyBorder="1" applyAlignment="1">
      <alignment horizontal="justify" vertical="center" wrapText="1"/>
    </xf>
    <xf numFmtId="0" fontId="8" fillId="7" borderId="9" xfId="0" applyFont="1" applyFill="1" applyBorder="1" applyAlignment="1">
      <alignment horizontal="justify" vertical="center" wrapText="1"/>
    </xf>
    <xf numFmtId="0" fontId="8" fillId="7" borderId="10" xfId="0" applyFont="1" applyFill="1" applyBorder="1" applyAlignment="1">
      <alignment horizontal="justify" vertical="center" wrapText="1"/>
    </xf>
    <xf numFmtId="0" fontId="8" fillId="7" borderId="11" xfId="0" applyFont="1" applyFill="1" applyBorder="1" applyAlignment="1">
      <alignment horizontal="justify" vertical="center" wrapText="1"/>
    </xf>
    <xf numFmtId="0" fontId="8" fillId="7" borderId="12" xfId="0" applyFont="1" applyFill="1" applyBorder="1" applyAlignment="1">
      <alignment horizontal="justify" vertical="center" wrapText="1"/>
    </xf>
    <xf numFmtId="0" fontId="17" fillId="10" borderId="2" xfId="1" applyFont="1" applyFill="1" applyBorder="1" applyAlignment="1">
      <alignment horizontal="center" vertical="center" wrapText="1"/>
    </xf>
    <xf numFmtId="0" fontId="14" fillId="2" borderId="0" xfId="0" applyFont="1" applyFill="1" applyAlignment="1">
      <alignment horizontal="center" vertical="center" wrapText="1"/>
    </xf>
    <xf numFmtId="0" fontId="8" fillId="0" borderId="2" xfId="1" applyFont="1" applyFill="1" applyBorder="1" applyAlignment="1">
      <alignment horizontal="center" vertical="center" wrapText="1"/>
    </xf>
    <xf numFmtId="166" fontId="8" fillId="6" borderId="0" xfId="0" applyNumberFormat="1" applyFont="1" applyFill="1" applyAlignment="1">
      <alignment horizontal="center" vertical="center"/>
    </xf>
  </cellXfs>
  <cellStyles count="7">
    <cellStyle name="60% - Énfasis1" xfId="1" builtinId="32"/>
    <cellStyle name="Hipervínculo" xfId="2" builtinId="8"/>
    <cellStyle name="Millares" xfId="3" builtinId="3"/>
    <cellStyle name="Normal" xfId="0" builtinId="0"/>
    <cellStyle name="Normal 2" xfId="4"/>
    <cellStyle name="Normal 2 2"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RE-09'!A1"/><Relationship Id="rId13" Type="http://schemas.openxmlformats.org/officeDocument/2006/relationships/hyperlink" Target="#'RE-14'!A1"/><Relationship Id="rId3" Type="http://schemas.openxmlformats.org/officeDocument/2006/relationships/hyperlink" Target="#'RE-04'!A1"/><Relationship Id="rId7" Type="http://schemas.openxmlformats.org/officeDocument/2006/relationships/hyperlink" Target="#'RE-08'!A1"/><Relationship Id="rId12" Type="http://schemas.openxmlformats.org/officeDocument/2006/relationships/hyperlink" Target="#'RE-13'!A1"/><Relationship Id="rId2" Type="http://schemas.openxmlformats.org/officeDocument/2006/relationships/hyperlink" Target="#'RE-03'!A1"/><Relationship Id="rId1" Type="http://schemas.openxmlformats.org/officeDocument/2006/relationships/hyperlink" Target="#'RE-02'!A1"/><Relationship Id="rId6" Type="http://schemas.openxmlformats.org/officeDocument/2006/relationships/hyperlink" Target="#'RE-07'!A1"/><Relationship Id="rId11" Type="http://schemas.openxmlformats.org/officeDocument/2006/relationships/hyperlink" Target="#'RE-12'!A1"/><Relationship Id="rId5" Type="http://schemas.openxmlformats.org/officeDocument/2006/relationships/hyperlink" Target="#'RE-06'!A1"/><Relationship Id="rId15" Type="http://schemas.openxmlformats.org/officeDocument/2006/relationships/hyperlink" Target="#'RE-01'!A1"/><Relationship Id="rId10" Type="http://schemas.openxmlformats.org/officeDocument/2006/relationships/hyperlink" Target="#'RE-11'!A1"/><Relationship Id="rId4" Type="http://schemas.openxmlformats.org/officeDocument/2006/relationships/hyperlink" Target="#'RE-05'!A1"/><Relationship Id="rId9" Type="http://schemas.openxmlformats.org/officeDocument/2006/relationships/hyperlink" Target="#'RE-10'!A1"/><Relationship Id="rId14"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absolute">
    <xdr:from>
      <xdr:col>1</xdr:col>
      <xdr:colOff>895350</xdr:colOff>
      <xdr:row>13</xdr:row>
      <xdr:rowOff>28575</xdr:rowOff>
    </xdr:from>
    <xdr:to>
      <xdr:col>3</xdr:col>
      <xdr:colOff>759150</xdr:colOff>
      <xdr:row>42</xdr:row>
      <xdr:rowOff>12750</xdr:rowOff>
    </xdr:to>
    <xdr:sp macro="" textlink="">
      <xdr:nvSpPr>
        <xdr:cNvPr id="21" name="20 Rectángulo redondeado"/>
        <xdr:cNvSpPr/>
      </xdr:nvSpPr>
      <xdr:spPr>
        <a:xfrm>
          <a:off x="952500" y="2171700"/>
          <a:ext cx="7560000" cy="4680000"/>
        </a:xfrm>
        <a:prstGeom prst="roundRect">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endParaRPr lang="es-CO" sz="1100"/>
        </a:p>
      </xdr:txBody>
    </xdr:sp>
    <xdr:clientData/>
  </xdr:twoCellAnchor>
  <xdr:twoCellAnchor editAs="absolute">
    <xdr:from>
      <xdr:col>1</xdr:col>
      <xdr:colOff>1114425</xdr:colOff>
      <xdr:row>16</xdr:row>
      <xdr:rowOff>157390</xdr:rowOff>
    </xdr:from>
    <xdr:to>
      <xdr:col>2</xdr:col>
      <xdr:colOff>5357060</xdr:colOff>
      <xdr:row>18</xdr:row>
      <xdr:rowOff>113745</xdr:rowOff>
    </xdr:to>
    <xdr:sp macro="" textlink="">
      <xdr:nvSpPr>
        <xdr:cNvPr id="5" name="4 Rectángulo">
          <a:hlinkClick xmlns:r="http://schemas.openxmlformats.org/officeDocument/2006/relationships" r:id="rId1"/>
        </xdr:cNvPr>
        <xdr:cNvSpPr/>
      </xdr:nvSpPr>
      <xdr:spPr>
        <a:xfrm>
          <a:off x="1171575" y="2786290"/>
          <a:ext cx="5890460"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CONTRIBUCIÓN DE LAS MATRÍCULAS AL FINANCIAMIENTO INSTITUCIONAL (2006-2012)</a:t>
          </a:r>
        </a:p>
      </xdr:txBody>
    </xdr:sp>
    <xdr:clientData/>
  </xdr:twoCellAnchor>
  <xdr:twoCellAnchor editAs="absolute">
    <xdr:from>
      <xdr:col>1</xdr:col>
      <xdr:colOff>1114425</xdr:colOff>
      <xdr:row>18</xdr:row>
      <xdr:rowOff>133805</xdr:rowOff>
    </xdr:from>
    <xdr:to>
      <xdr:col>2</xdr:col>
      <xdr:colOff>4886353</xdr:colOff>
      <xdr:row>20</xdr:row>
      <xdr:rowOff>90160</xdr:rowOff>
    </xdr:to>
    <xdr:sp macro="" textlink="">
      <xdr:nvSpPr>
        <xdr:cNvPr id="6" name="5 Rectángulo">
          <a:hlinkClick xmlns:r="http://schemas.openxmlformats.org/officeDocument/2006/relationships" r:id="rId2"/>
        </xdr:cNvPr>
        <xdr:cNvSpPr/>
      </xdr:nvSpPr>
      <xdr:spPr>
        <a:xfrm>
          <a:off x="1171575" y="3086555"/>
          <a:ext cx="5419753"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CONTRIBUCIÓN</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DEL ESTADO AL FINANCIAMIENTO INSTITUCIONAL (2006-2012)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20</xdr:row>
      <xdr:rowOff>110220</xdr:rowOff>
    </xdr:from>
    <xdr:to>
      <xdr:col>2</xdr:col>
      <xdr:colOff>2662476</xdr:colOff>
      <xdr:row>22</xdr:row>
      <xdr:rowOff>66575</xdr:rowOff>
    </xdr:to>
    <xdr:sp macro="" textlink="">
      <xdr:nvSpPr>
        <xdr:cNvPr id="7" name="6 Rectángulo">
          <a:hlinkClick xmlns:r="http://schemas.openxmlformats.org/officeDocument/2006/relationships" r:id="rId3"/>
        </xdr:cNvPr>
        <xdr:cNvSpPr/>
      </xdr:nvSpPr>
      <xdr:spPr>
        <a:xfrm>
          <a:off x="1171575" y="3386820"/>
          <a:ext cx="3195876"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DISTRIBUCIÓN DE PRESUPUESTO (2006</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22</xdr:row>
      <xdr:rowOff>86635</xdr:rowOff>
    </xdr:from>
    <xdr:to>
      <xdr:col>3</xdr:col>
      <xdr:colOff>442264</xdr:colOff>
      <xdr:row>24</xdr:row>
      <xdr:rowOff>42990</xdr:rowOff>
    </xdr:to>
    <xdr:sp macro="" textlink="">
      <xdr:nvSpPr>
        <xdr:cNvPr id="8" name="7 Rectángulo">
          <a:hlinkClick xmlns:r="http://schemas.openxmlformats.org/officeDocument/2006/relationships" r:id="rId4"/>
        </xdr:cNvPr>
        <xdr:cNvSpPr/>
      </xdr:nvSpPr>
      <xdr:spPr>
        <a:xfrm>
          <a:off x="1171575" y="3687085"/>
          <a:ext cx="7024039"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PORCENTAJE DE EJECUCIÓN DE GASTOS QUE SE DEDICAN A FUNCIONAMIENTO</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 INVERSIÓN (2006-2012)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24</xdr:row>
      <xdr:rowOff>63050</xdr:rowOff>
    </xdr:from>
    <xdr:to>
      <xdr:col>2</xdr:col>
      <xdr:colOff>3063995</xdr:colOff>
      <xdr:row>26</xdr:row>
      <xdr:rowOff>19405</xdr:rowOff>
    </xdr:to>
    <xdr:sp macro="" textlink="">
      <xdr:nvSpPr>
        <xdr:cNvPr id="9" name="8 Rectángulo">
          <a:hlinkClick xmlns:r="http://schemas.openxmlformats.org/officeDocument/2006/relationships" r:id="rId5"/>
        </xdr:cNvPr>
        <xdr:cNvSpPr/>
      </xdr:nvSpPr>
      <xdr:spPr>
        <a:xfrm>
          <a:off x="1171575" y="3987350"/>
          <a:ext cx="3597395"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EJECUCIÓN</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GASTOS EN INVERSIÓN (2006-2012)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26</xdr:row>
      <xdr:rowOff>39465</xdr:rowOff>
    </xdr:from>
    <xdr:to>
      <xdr:col>2</xdr:col>
      <xdr:colOff>5141551</xdr:colOff>
      <xdr:row>27</xdr:row>
      <xdr:rowOff>157745</xdr:rowOff>
    </xdr:to>
    <xdr:sp macro="" textlink="">
      <xdr:nvSpPr>
        <xdr:cNvPr id="10" name="9 Rectángulo">
          <a:hlinkClick xmlns:r="http://schemas.openxmlformats.org/officeDocument/2006/relationships" r:id="rId6"/>
        </xdr:cNvPr>
        <xdr:cNvSpPr/>
      </xdr:nvSpPr>
      <xdr:spPr>
        <a:xfrm>
          <a:off x="1171575" y="4287615"/>
          <a:ext cx="5674951"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EJECUCIÓN</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GASTOS DE ACUERDO CON LAS FUNCIONES MISIONALES (2006-2012)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28</xdr:row>
      <xdr:rowOff>15880</xdr:rowOff>
    </xdr:from>
    <xdr:to>
      <xdr:col>3</xdr:col>
      <xdr:colOff>581026</xdr:colOff>
      <xdr:row>29</xdr:row>
      <xdr:rowOff>138985</xdr:rowOff>
    </xdr:to>
    <xdr:sp macro="" textlink="">
      <xdr:nvSpPr>
        <xdr:cNvPr id="11" name="10 Rectángulo">
          <a:hlinkClick xmlns:r="http://schemas.openxmlformats.org/officeDocument/2006/relationships" r:id="rId7"/>
        </xdr:cNvPr>
        <xdr:cNvSpPr/>
      </xdr:nvSpPr>
      <xdr:spPr>
        <a:xfrm>
          <a:off x="1171575" y="4587880"/>
          <a:ext cx="7162801" cy="285030"/>
        </a:xfrm>
        <a:prstGeom prst="rect">
          <a:avLst/>
        </a:prstGeom>
        <a:noFill/>
      </xdr:spPr>
      <xdr:txBody>
        <a:bodyPr wrap="square" lIns="91440" tIns="45720" rIns="91440" bIns="45720">
          <a:no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EJECUCIÓN</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GASTOS EN PROYECTOS POR OPERACIÓN COMERCIAL Y CONVOCATORIA PARCE (2006-2012)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29</xdr:row>
      <xdr:rowOff>159045</xdr:rowOff>
    </xdr:from>
    <xdr:to>
      <xdr:col>2</xdr:col>
      <xdr:colOff>4672705</xdr:colOff>
      <xdr:row>31</xdr:row>
      <xdr:rowOff>115400</xdr:rowOff>
    </xdr:to>
    <xdr:sp macro="" textlink="">
      <xdr:nvSpPr>
        <xdr:cNvPr id="12" name="11 Rectángulo">
          <a:hlinkClick xmlns:r="http://schemas.openxmlformats.org/officeDocument/2006/relationships" r:id="rId8"/>
        </xdr:cNvPr>
        <xdr:cNvSpPr/>
      </xdr:nvSpPr>
      <xdr:spPr>
        <a:xfrm>
          <a:off x="1171575" y="4892970"/>
          <a:ext cx="5206105"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DISTRIBUCIÓN DE PRESUPUESTO</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 ASIGNACIÓN A FACULTADES (2008-2012)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31</xdr:row>
      <xdr:rowOff>135460</xdr:rowOff>
    </xdr:from>
    <xdr:to>
      <xdr:col>2</xdr:col>
      <xdr:colOff>2853809</xdr:colOff>
      <xdr:row>33</xdr:row>
      <xdr:rowOff>91815</xdr:rowOff>
    </xdr:to>
    <xdr:sp macro="" textlink="">
      <xdr:nvSpPr>
        <xdr:cNvPr id="15" name="14 Rectángulo">
          <a:hlinkClick xmlns:r="http://schemas.openxmlformats.org/officeDocument/2006/relationships" r:id="rId9"/>
        </xdr:cNvPr>
        <xdr:cNvSpPr/>
      </xdr:nvSpPr>
      <xdr:spPr>
        <a:xfrm>
          <a:off x="1171575" y="5193235"/>
          <a:ext cx="3387209"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INVERSIÓN FÍSICA Y TECNOLÓGICA</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(2006-2012)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33</xdr:row>
      <xdr:rowOff>111875</xdr:rowOff>
    </xdr:from>
    <xdr:to>
      <xdr:col>2</xdr:col>
      <xdr:colOff>4025413</xdr:colOff>
      <xdr:row>35</xdr:row>
      <xdr:rowOff>68230</xdr:rowOff>
    </xdr:to>
    <xdr:sp macro="" textlink="">
      <xdr:nvSpPr>
        <xdr:cNvPr id="16" name="15 Rectángulo">
          <a:hlinkClick xmlns:r="http://schemas.openxmlformats.org/officeDocument/2006/relationships" r:id="rId10"/>
        </xdr:cNvPr>
        <xdr:cNvSpPr/>
      </xdr:nvSpPr>
      <xdr:spPr>
        <a:xfrm>
          <a:off x="1171575" y="5493500"/>
          <a:ext cx="4558813"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EFICIENCIA Y PRODUCTIVIDAD DE LA INVESTIGACIÓN (2006</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1114425</xdr:colOff>
      <xdr:row>35</xdr:row>
      <xdr:rowOff>88290</xdr:rowOff>
    </xdr:from>
    <xdr:to>
      <xdr:col>2</xdr:col>
      <xdr:colOff>2991797</xdr:colOff>
      <xdr:row>37</xdr:row>
      <xdr:rowOff>44645</xdr:rowOff>
    </xdr:to>
    <xdr:sp macro="" textlink="">
      <xdr:nvSpPr>
        <xdr:cNvPr id="17" name="16 Rectángulo">
          <a:hlinkClick xmlns:r="http://schemas.openxmlformats.org/officeDocument/2006/relationships" r:id="rId11"/>
        </xdr:cNvPr>
        <xdr:cNvSpPr/>
      </xdr:nvSpPr>
      <xdr:spPr>
        <a:xfrm>
          <a:off x="1171575" y="5793765"/>
          <a:ext cx="3525197"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GENERACIÓN DE INGRESOS PROPIOS (2006-2012)</a:t>
          </a:r>
        </a:p>
      </xdr:txBody>
    </xdr:sp>
    <xdr:clientData/>
  </xdr:twoCellAnchor>
  <xdr:twoCellAnchor editAs="absolute">
    <xdr:from>
      <xdr:col>1</xdr:col>
      <xdr:colOff>1114425</xdr:colOff>
      <xdr:row>37</xdr:row>
      <xdr:rowOff>64705</xdr:rowOff>
    </xdr:from>
    <xdr:to>
      <xdr:col>2</xdr:col>
      <xdr:colOff>5887077</xdr:colOff>
      <xdr:row>39</xdr:row>
      <xdr:rowOff>21060</xdr:rowOff>
    </xdr:to>
    <xdr:sp macro="" textlink="">
      <xdr:nvSpPr>
        <xdr:cNvPr id="18" name="17 Rectángulo">
          <a:hlinkClick xmlns:r="http://schemas.openxmlformats.org/officeDocument/2006/relationships" r:id="rId12"/>
        </xdr:cNvPr>
        <xdr:cNvSpPr/>
      </xdr:nvSpPr>
      <xdr:spPr>
        <a:xfrm>
          <a:off x="1171575" y="6094030"/>
          <a:ext cx="6420477"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TARIFAS MATRÍCULA DE LA UTP POR</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ESTRATO SOCIOECONÓMICO SEGÚN ORIGEN DEL COLEGIO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1104900</xdr:colOff>
      <xdr:row>39</xdr:row>
      <xdr:rowOff>41114</xdr:rowOff>
    </xdr:from>
    <xdr:to>
      <xdr:col>2</xdr:col>
      <xdr:colOff>4197604</xdr:colOff>
      <xdr:row>40</xdr:row>
      <xdr:rowOff>159394</xdr:rowOff>
    </xdr:to>
    <xdr:sp macro="" textlink="">
      <xdr:nvSpPr>
        <xdr:cNvPr id="19" name="18 Rectángulo">
          <a:hlinkClick xmlns:r="http://schemas.openxmlformats.org/officeDocument/2006/relationships" r:id="rId13"/>
        </xdr:cNvPr>
        <xdr:cNvSpPr/>
      </xdr:nvSpPr>
      <xdr:spPr>
        <a:xfrm>
          <a:off x="1162050" y="6394289"/>
          <a:ext cx="4740529"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INCENTIVOS. BECAS Y SUBSIDIOS POR ESTRATOS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SOCIOECONÓMICOS</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2</xdr:col>
      <xdr:colOff>695325</xdr:colOff>
      <xdr:row>12</xdr:row>
      <xdr:rowOff>19050</xdr:rowOff>
    </xdr:from>
    <xdr:to>
      <xdr:col>2</xdr:col>
      <xdr:colOff>5375325</xdr:colOff>
      <xdr:row>13</xdr:row>
      <xdr:rowOff>145125</xdr:rowOff>
    </xdr:to>
    <xdr:sp macro="" textlink="">
      <xdr:nvSpPr>
        <xdr:cNvPr id="22" name="21 Rectángulo redondeado"/>
        <xdr:cNvSpPr/>
      </xdr:nvSpPr>
      <xdr:spPr>
        <a:xfrm>
          <a:off x="2400300" y="2000250"/>
          <a:ext cx="4680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 ECONÓMICOS</a:t>
          </a:r>
        </a:p>
      </xdr:txBody>
    </xdr:sp>
    <xdr:clientData/>
  </xdr:twoCellAnchor>
  <xdr:twoCellAnchor editAs="absolute">
    <xdr:from>
      <xdr:col>2</xdr:col>
      <xdr:colOff>3430690</xdr:colOff>
      <xdr:row>6</xdr:row>
      <xdr:rowOff>73496</xdr:rowOff>
    </xdr:from>
    <xdr:to>
      <xdr:col>3</xdr:col>
      <xdr:colOff>1644251</xdr:colOff>
      <xdr:row>8</xdr:row>
      <xdr:rowOff>155078</xdr:rowOff>
    </xdr:to>
    <xdr:sp macro="" textlink="">
      <xdr:nvSpPr>
        <xdr:cNvPr id="33" name="32 Rectángulo"/>
        <xdr:cNvSpPr/>
      </xdr:nvSpPr>
      <xdr:spPr>
        <a:xfrm>
          <a:off x="5135665" y="1064096"/>
          <a:ext cx="4261936" cy="405432"/>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s-ES" sz="2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CAPÍTULO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8. RECURSOS ECONÓMICOS</a:t>
          </a:r>
          <a:endParaRPr lang="es-ES" sz="2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twoCellAnchor>
  <xdr:twoCellAnchor editAs="absolute">
    <xdr:from>
      <xdr:col>2</xdr:col>
      <xdr:colOff>3094857</xdr:colOff>
      <xdr:row>0</xdr:row>
      <xdr:rowOff>152400</xdr:rowOff>
    </xdr:from>
    <xdr:to>
      <xdr:col>3</xdr:col>
      <xdr:colOff>1634726</xdr:colOff>
      <xdr:row>3</xdr:row>
      <xdr:rowOff>161899</xdr:rowOff>
    </xdr:to>
    <xdr:sp macro="" textlink="">
      <xdr:nvSpPr>
        <xdr:cNvPr id="34" name="33 Rectángulo"/>
        <xdr:cNvSpPr/>
      </xdr:nvSpPr>
      <xdr:spPr>
        <a:xfrm>
          <a:off x="4799832" y="152400"/>
          <a:ext cx="4588244" cy="514324"/>
        </a:xfrm>
        <a:prstGeom prst="rect">
          <a:avLst/>
        </a:prstGeom>
        <a:noFill/>
      </xdr:spPr>
      <xdr:txBody>
        <a:bodyPr wrap="non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s-ES" sz="3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BOLETÍN ESTADÍSTICO 2012</a:t>
          </a:r>
        </a:p>
      </xdr:txBody>
    </xdr:sp>
    <xdr:clientData/>
  </xdr:twoCellAnchor>
  <xdr:twoCellAnchor editAs="absolute">
    <xdr:from>
      <xdr:col>1</xdr:col>
      <xdr:colOff>19050</xdr:colOff>
      <xdr:row>1</xdr:row>
      <xdr:rowOff>19055</xdr:rowOff>
    </xdr:from>
    <xdr:to>
      <xdr:col>2</xdr:col>
      <xdr:colOff>1929060</xdr:colOff>
      <xdr:row>8</xdr:row>
      <xdr:rowOff>152031</xdr:rowOff>
    </xdr:to>
    <xdr:pic>
      <xdr:nvPicPr>
        <xdr:cNvPr id="35" name="34 Imagen"/>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6200" y="190505"/>
          <a:ext cx="3557835" cy="1275976"/>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1</xdr:col>
      <xdr:colOff>1114425</xdr:colOff>
      <xdr:row>15</xdr:row>
      <xdr:rowOff>19050</xdr:rowOff>
    </xdr:from>
    <xdr:to>
      <xdr:col>2</xdr:col>
      <xdr:colOff>4305301</xdr:colOff>
      <xdr:row>16</xdr:row>
      <xdr:rowOff>137330</xdr:rowOff>
    </xdr:to>
    <xdr:sp macro="" textlink="">
      <xdr:nvSpPr>
        <xdr:cNvPr id="36" name="35 Rectángulo">
          <a:hlinkClick xmlns:r="http://schemas.openxmlformats.org/officeDocument/2006/relationships" r:id="rId15"/>
        </xdr:cNvPr>
        <xdr:cNvSpPr/>
      </xdr:nvSpPr>
      <xdr:spPr>
        <a:xfrm>
          <a:off x="1171575" y="2486025"/>
          <a:ext cx="4838701" cy="280205"/>
        </a:xfrm>
        <a:prstGeom prst="rect">
          <a:avLst/>
        </a:prstGeom>
        <a:noFill/>
      </xdr:spPr>
      <xdr:txBody>
        <a:bodyPr wrap="squar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PROMEDIO DE VALORES DE MATRÍCULA POR</a:t>
          </a:r>
          <a:r>
            <a:rPr lang="es-CO"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PROGRAMA ACADÉMICO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8</xdr:row>
      <xdr:rowOff>23548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85725</xdr:colOff>
      <xdr:row>4</xdr:row>
      <xdr:rowOff>295273</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85725</xdr:colOff>
      <xdr:row>4</xdr:row>
      <xdr:rowOff>295273</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85725</xdr:colOff>
      <xdr:row>4</xdr:row>
      <xdr:rowOff>257173</xdr:rowOff>
    </xdr:from>
    <xdr:to>
      <xdr:col>0</xdr:col>
      <xdr:colOff>1633725</xdr:colOff>
      <xdr:row>8</xdr:row>
      <xdr:rowOff>23548</xdr:rowOff>
    </xdr:to>
    <xdr:sp macro="" textlink="">
      <xdr:nvSpPr>
        <xdr:cNvPr id="3" name="2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4" name="3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85725</xdr:colOff>
      <xdr:row>5</xdr:row>
      <xdr:rowOff>57148</xdr:rowOff>
    </xdr:from>
    <xdr:to>
      <xdr:col>0</xdr:col>
      <xdr:colOff>1633725</xdr:colOff>
      <xdr:row>7</xdr:row>
      <xdr:rowOff>147373</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26700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85725</xdr:colOff>
      <xdr:row>5</xdr:row>
      <xdr:rowOff>95248</xdr:rowOff>
    </xdr:from>
    <xdr:to>
      <xdr:col>0</xdr:col>
      <xdr:colOff>1633725</xdr:colOff>
      <xdr:row>8</xdr:row>
      <xdr:rowOff>23548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85725</xdr:colOff>
      <xdr:row>4</xdr:row>
      <xdr:rowOff>295273</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85725</xdr:colOff>
      <xdr:row>5</xdr:row>
      <xdr:rowOff>57148</xdr:rowOff>
    </xdr:from>
    <xdr:to>
      <xdr:col>0</xdr:col>
      <xdr:colOff>1633725</xdr:colOff>
      <xdr:row>8</xdr:row>
      <xdr:rowOff>147373</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26700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85725</xdr:colOff>
      <xdr:row>4</xdr:row>
      <xdr:rowOff>257173</xdr:rowOff>
    </xdr:from>
    <xdr:to>
      <xdr:col>0</xdr:col>
      <xdr:colOff>1633725</xdr:colOff>
      <xdr:row>8</xdr:row>
      <xdr:rowOff>23548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64800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theme/theme1.xml><?xml version="1.0" encoding="utf-8"?>
<a:theme xmlns:a="http://schemas.openxmlformats.org/drawingml/2006/main" name="Tema de Office">
  <a:themeElements>
    <a:clrScheme name="Cartoné">
      <a:dk1>
        <a:sysClr val="windowText" lastClr="000000"/>
      </a:dk1>
      <a:lt1>
        <a:sysClr val="window" lastClr="FFFFFF"/>
      </a:lt1>
      <a:dk2>
        <a:srgbClr val="895D1D"/>
      </a:dk2>
      <a:lt2>
        <a:srgbClr val="ECE9C6"/>
      </a:lt2>
      <a:accent1>
        <a:srgbClr val="873624"/>
      </a:accent1>
      <a:accent2>
        <a:srgbClr val="D6862D"/>
      </a:accent2>
      <a:accent3>
        <a:srgbClr val="D0BE40"/>
      </a:accent3>
      <a:accent4>
        <a:srgbClr val="877F6C"/>
      </a:accent4>
      <a:accent5>
        <a:srgbClr val="972109"/>
      </a:accent5>
      <a:accent6>
        <a:srgbClr val="AEB795"/>
      </a:accent6>
      <a:hlink>
        <a:srgbClr val="CC99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E73"/>
  <sheetViews>
    <sheetView showGridLines="0" tabSelected="1" zoomScaleNormal="100" zoomScaleSheetLayoutView="100" workbookViewId="0"/>
  </sheetViews>
  <sheetFormatPr baseColWidth="10" defaultColWidth="0" defaultRowHeight="12.75" zeroHeight="1" x14ac:dyDescent="0.25"/>
  <cols>
    <col min="1" max="1" width="0.85546875" style="39" customWidth="1"/>
    <col min="2" max="2" width="24.7109375" style="39" customWidth="1"/>
    <col min="3" max="3" width="90.7109375" style="39" customWidth="1"/>
    <col min="4" max="4" width="24.7109375" style="39" customWidth="1"/>
    <col min="5" max="5" width="0.85546875" style="39" customWidth="1"/>
    <col min="6" max="16384" width="11.42578125" style="39" hidden="1"/>
  </cols>
  <sheetData>
    <row r="1" spans="2:5" s="42" customFormat="1" ht="13.5" thickBot="1" x14ac:dyDescent="0.3">
      <c r="B1" s="43"/>
      <c r="C1" s="44"/>
      <c r="D1" s="44"/>
      <c r="E1" s="44"/>
    </row>
    <row r="2" spans="2:5" s="42" customFormat="1" ht="13.5" thickTop="1" x14ac:dyDescent="0.2">
      <c r="B2" s="45"/>
      <c r="C2" s="46"/>
      <c r="D2" s="47"/>
      <c r="E2" s="44"/>
    </row>
    <row r="3" spans="2:5" s="42" customFormat="1" x14ac:dyDescent="0.2">
      <c r="B3" s="48"/>
      <c r="C3" s="49"/>
      <c r="D3" s="50"/>
      <c r="E3" s="44"/>
    </row>
    <row r="4" spans="2:5" s="42" customFormat="1" x14ac:dyDescent="0.2">
      <c r="B4" s="48"/>
      <c r="C4" s="51"/>
      <c r="D4" s="50"/>
      <c r="E4" s="44"/>
    </row>
    <row r="5" spans="2:5" s="42" customFormat="1" x14ac:dyDescent="0.2">
      <c r="B5" s="48"/>
      <c r="C5" s="49"/>
      <c r="D5" s="50"/>
      <c r="E5" s="44"/>
    </row>
    <row r="6" spans="2:5" s="42" customFormat="1" x14ac:dyDescent="0.2">
      <c r="B6" s="48"/>
      <c r="C6" s="49"/>
      <c r="D6" s="50"/>
      <c r="E6" s="44"/>
    </row>
    <row r="7" spans="2:5" s="42" customFormat="1" x14ac:dyDescent="0.2">
      <c r="B7" s="48"/>
      <c r="C7" s="49"/>
      <c r="D7" s="50"/>
      <c r="E7" s="44"/>
    </row>
    <row r="8" spans="2:5" s="42" customFormat="1" x14ac:dyDescent="0.2">
      <c r="B8" s="48"/>
      <c r="C8" s="49"/>
      <c r="D8" s="50"/>
      <c r="E8" s="44"/>
    </row>
    <row r="9" spans="2:5" s="42" customFormat="1" ht="13.5" thickBot="1" x14ac:dyDescent="0.25">
      <c r="B9" s="52"/>
      <c r="C9" s="53"/>
      <c r="D9" s="54"/>
      <c r="E9" s="44"/>
    </row>
    <row r="10" spans="2:5" s="42" customFormat="1" ht="13.5" thickTop="1" x14ac:dyDescent="0.25">
      <c r="B10" s="44"/>
      <c r="C10" s="44"/>
      <c r="D10" s="44"/>
      <c r="E10" s="44"/>
    </row>
    <row r="11" spans="2:5" s="42" customFormat="1" x14ac:dyDescent="0.25">
      <c r="B11" s="44"/>
      <c r="C11" s="43"/>
      <c r="D11" s="44"/>
      <c r="E11" s="44"/>
    </row>
    <row r="12" spans="2:5" s="55" customFormat="1" x14ac:dyDescent="0.2">
      <c r="B12" s="56"/>
    </row>
    <row r="13" spans="2:5" x14ac:dyDescent="0.25"/>
    <row r="14" spans="2:5" x14ac:dyDescent="0.25"/>
    <row r="15" spans="2:5" x14ac:dyDescent="0.25"/>
    <row r="16" spans="2:5" x14ac:dyDescent="0.25"/>
    <row r="17" spans="1:2" x14ac:dyDescent="0.25"/>
    <row r="18" spans="1:2" x14ac:dyDescent="0.25"/>
    <row r="19" spans="1:2" x14ac:dyDescent="0.25"/>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c r="A30" s="40"/>
      <c r="B30" s="41"/>
    </row>
    <row r="31" spans="1:2" x14ac:dyDescent="0.25">
      <c r="A31" s="40"/>
    </row>
    <row r="32" spans="1:2" x14ac:dyDescent="0.25">
      <c r="A32" s="40"/>
      <c r="B32" s="41"/>
    </row>
    <row r="33" spans="1:2" x14ac:dyDescent="0.25">
      <c r="A33" s="40"/>
    </row>
    <row r="34" spans="1:2" x14ac:dyDescent="0.25">
      <c r="A34" s="40"/>
      <c r="B34" s="41"/>
    </row>
    <row r="35" spans="1:2" x14ac:dyDescent="0.25">
      <c r="A35" s="40"/>
    </row>
    <row r="36" spans="1:2" x14ac:dyDescent="0.25">
      <c r="A36" s="40"/>
      <c r="B36" s="41"/>
    </row>
    <row r="37" spans="1:2" x14ac:dyDescent="0.25"/>
    <row r="38" spans="1:2" x14ac:dyDescent="0.25">
      <c r="B38" s="41"/>
    </row>
    <row r="39" spans="1:2" x14ac:dyDescent="0.25"/>
    <row r="40" spans="1:2" x14ac:dyDescent="0.25">
      <c r="B40" s="41"/>
    </row>
    <row r="41" spans="1:2" x14ac:dyDescent="0.25"/>
    <row r="42" spans="1:2" x14ac:dyDescent="0.25">
      <c r="B42" s="41"/>
    </row>
    <row r="43" spans="1:2" x14ac:dyDescent="0.25"/>
    <row r="44" spans="1:2" x14ac:dyDescent="0.25">
      <c r="B44" s="41"/>
    </row>
    <row r="45" spans="1:2" hidden="1" x14ac:dyDescent="0.25"/>
    <row r="46" spans="1:2" hidden="1" x14ac:dyDescent="0.25">
      <c r="B46" s="41"/>
    </row>
    <row r="47" spans="1:2" hidden="1" x14ac:dyDescent="0.25"/>
    <row r="48" spans="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password="CD78" sheet="1" objects="1" scenarios="1"/>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M7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5.7109375" style="1" customWidth="1"/>
    <col min="3" max="3" width="36.7109375" style="1" customWidth="1"/>
    <col min="4" max="12" width="12.7109375" style="1" customWidth="1"/>
    <col min="13" max="13" width="5.7109375" style="1" customWidth="1"/>
    <col min="14" max="16384" width="11.42578125" style="1" hidden="1"/>
  </cols>
  <sheetData>
    <row r="1" spans="1:13" s="64" customFormat="1" ht="26.25" customHeight="1" x14ac:dyDescent="0.25">
      <c r="B1" s="132" t="s">
        <v>215</v>
      </c>
      <c r="C1" s="132"/>
      <c r="D1" s="132"/>
      <c r="E1" s="132"/>
      <c r="F1" s="132"/>
      <c r="G1" s="132"/>
      <c r="H1" s="132"/>
      <c r="I1" s="132"/>
      <c r="J1" s="132"/>
      <c r="K1" s="132"/>
      <c r="L1" s="132"/>
      <c r="M1" s="132"/>
    </row>
    <row r="2" spans="1:13" x14ac:dyDescent="0.25"/>
    <row r="3" spans="1:13" s="36" customFormat="1" ht="15.75" x14ac:dyDescent="0.25">
      <c r="A3" s="68"/>
      <c r="C3" s="137" t="s">
        <v>272</v>
      </c>
      <c r="D3" s="137"/>
      <c r="E3" s="137"/>
      <c r="F3" s="137"/>
      <c r="G3" s="137"/>
      <c r="H3" s="137"/>
      <c r="I3" s="137"/>
      <c r="J3" s="137"/>
      <c r="K3" s="137"/>
      <c r="L3" s="137"/>
    </row>
    <row r="4" spans="1:13" x14ac:dyDescent="0.25"/>
    <row r="5" spans="1:13" x14ac:dyDescent="0.25">
      <c r="C5" s="127" t="s">
        <v>36</v>
      </c>
      <c r="D5" s="127" t="s">
        <v>153</v>
      </c>
      <c r="E5" s="127"/>
      <c r="F5" s="131"/>
      <c r="G5" s="126" t="s">
        <v>210</v>
      </c>
      <c r="H5" s="127"/>
      <c r="I5" s="131"/>
      <c r="J5" s="126" t="s">
        <v>270</v>
      </c>
      <c r="K5" s="127"/>
      <c r="L5" s="127"/>
    </row>
    <row r="6" spans="1:13" ht="25.5" x14ac:dyDescent="0.25">
      <c r="C6" s="127"/>
      <c r="D6" s="83" t="s">
        <v>142</v>
      </c>
      <c r="E6" s="83" t="s">
        <v>143</v>
      </c>
      <c r="F6" s="73" t="s">
        <v>155</v>
      </c>
      <c r="G6" s="100" t="s">
        <v>142</v>
      </c>
      <c r="H6" s="83" t="s">
        <v>143</v>
      </c>
      <c r="I6" s="73" t="s">
        <v>155</v>
      </c>
      <c r="J6" s="100" t="s">
        <v>142</v>
      </c>
      <c r="K6" s="83" t="s">
        <v>143</v>
      </c>
      <c r="L6" s="66" t="s">
        <v>155</v>
      </c>
    </row>
    <row r="7" spans="1:13" x14ac:dyDescent="0.25">
      <c r="C7" s="23" t="s">
        <v>144</v>
      </c>
      <c r="D7" s="101">
        <v>307822451</v>
      </c>
      <c r="E7" s="101">
        <v>25799844</v>
      </c>
      <c r="F7" s="102">
        <v>44354497</v>
      </c>
      <c r="G7" s="103">
        <v>230589718</v>
      </c>
      <c r="H7" s="101">
        <v>47618637</v>
      </c>
      <c r="I7" s="102">
        <v>17688416</v>
      </c>
      <c r="J7" s="103">
        <f>228526082</f>
        <v>228526082</v>
      </c>
      <c r="K7" s="101">
        <v>53178337</v>
      </c>
      <c r="L7" s="101">
        <v>68490738</v>
      </c>
    </row>
    <row r="8" spans="1:13" x14ac:dyDescent="0.25">
      <c r="C8" s="23" t="s">
        <v>145</v>
      </c>
      <c r="D8" s="101">
        <v>56676129</v>
      </c>
      <c r="E8" s="101">
        <v>10715587</v>
      </c>
      <c r="F8" s="102">
        <v>29833020</v>
      </c>
      <c r="G8" s="103">
        <v>42986333</v>
      </c>
      <c r="H8" s="101">
        <v>8644659</v>
      </c>
      <c r="I8" s="102">
        <v>21852944</v>
      </c>
      <c r="J8" s="103">
        <f>29401109+29000690</f>
        <v>58401799</v>
      </c>
      <c r="K8" s="101">
        <v>7051252</v>
      </c>
      <c r="L8" s="101">
        <v>23349911</v>
      </c>
    </row>
    <row r="9" spans="1:13" x14ac:dyDescent="0.25">
      <c r="C9" s="23" t="s">
        <v>146</v>
      </c>
      <c r="D9" s="101">
        <v>28620176</v>
      </c>
      <c r="E9" s="101">
        <v>10007258</v>
      </c>
      <c r="F9" s="102">
        <v>22529000</v>
      </c>
      <c r="G9" s="103">
        <v>50744127</v>
      </c>
      <c r="H9" s="101">
        <v>9194954</v>
      </c>
      <c r="I9" s="102">
        <v>7627007</v>
      </c>
      <c r="J9" s="103">
        <f>24380073+23059080</f>
        <v>47439153</v>
      </c>
      <c r="K9" s="101">
        <v>2605632</v>
      </c>
      <c r="L9" s="101">
        <v>24871654</v>
      </c>
    </row>
    <row r="10" spans="1:13" x14ac:dyDescent="0.25">
      <c r="C10" s="23" t="s">
        <v>147</v>
      </c>
      <c r="D10" s="101">
        <v>77991407</v>
      </c>
      <c r="E10" s="101">
        <v>4770346</v>
      </c>
      <c r="F10" s="102">
        <v>34235000</v>
      </c>
      <c r="G10" s="103">
        <v>62954192</v>
      </c>
      <c r="H10" s="101">
        <v>9430852</v>
      </c>
      <c r="I10" s="102">
        <v>14553237</v>
      </c>
      <c r="J10" s="103">
        <f>61998450+25112891</f>
        <v>87111341</v>
      </c>
      <c r="K10" s="101">
        <v>9837860</v>
      </c>
      <c r="L10" s="101">
        <v>28669102</v>
      </c>
    </row>
    <row r="11" spans="1:13" x14ac:dyDescent="0.25">
      <c r="C11" s="23" t="s">
        <v>148</v>
      </c>
      <c r="D11" s="101">
        <v>58337378</v>
      </c>
      <c r="E11" s="101">
        <v>5300000</v>
      </c>
      <c r="F11" s="102">
        <v>33458400</v>
      </c>
      <c r="G11" s="103">
        <v>60429118</v>
      </c>
      <c r="H11" s="101">
        <v>9053228</v>
      </c>
      <c r="I11" s="102">
        <v>11034184</v>
      </c>
      <c r="J11" s="103">
        <f>40054217+22977314</f>
        <v>63031531</v>
      </c>
      <c r="K11" s="101">
        <v>10148188</v>
      </c>
      <c r="L11" s="101">
        <v>11553780</v>
      </c>
    </row>
    <row r="12" spans="1:13" x14ac:dyDescent="0.25">
      <c r="C12" s="23" t="s">
        <v>149</v>
      </c>
      <c r="D12" s="101">
        <v>65975097</v>
      </c>
      <c r="E12" s="101">
        <v>4264824</v>
      </c>
      <c r="F12" s="102">
        <v>70691615</v>
      </c>
      <c r="G12" s="103">
        <v>69180321</v>
      </c>
      <c r="H12" s="101">
        <v>10489389</v>
      </c>
      <c r="I12" s="102">
        <v>43354556</v>
      </c>
      <c r="J12" s="103">
        <f>55955160+25096048</f>
        <v>81051208</v>
      </c>
      <c r="K12" s="101">
        <v>8255619</v>
      </c>
      <c r="L12" s="101">
        <v>39436188</v>
      </c>
    </row>
    <row r="13" spans="1:13" x14ac:dyDescent="0.25">
      <c r="C13" s="23" t="s">
        <v>150</v>
      </c>
      <c r="D13" s="101">
        <v>18896313</v>
      </c>
      <c r="E13" s="101">
        <v>8557312</v>
      </c>
      <c r="F13" s="102">
        <v>22852372</v>
      </c>
      <c r="G13" s="103">
        <v>29907078</v>
      </c>
      <c r="H13" s="101">
        <v>4423277</v>
      </c>
      <c r="I13" s="102">
        <v>7825872</v>
      </c>
      <c r="J13" s="103">
        <f>27241967+14016238</f>
        <v>41258205</v>
      </c>
      <c r="K13" s="101">
        <v>7141007</v>
      </c>
      <c r="L13" s="101">
        <v>26270230</v>
      </c>
    </row>
    <row r="14" spans="1:13" x14ac:dyDescent="0.25">
      <c r="C14" s="23" t="s">
        <v>151</v>
      </c>
      <c r="D14" s="101">
        <v>49494201</v>
      </c>
      <c r="E14" s="101">
        <v>6545884</v>
      </c>
      <c r="F14" s="102">
        <v>75305896</v>
      </c>
      <c r="G14" s="103">
        <v>35161743</v>
      </c>
      <c r="H14" s="101">
        <v>3588813</v>
      </c>
      <c r="I14" s="102">
        <v>36856114</v>
      </c>
      <c r="J14" s="103">
        <f>20440575+6349359</f>
        <v>26789934</v>
      </c>
      <c r="K14" s="101">
        <v>6907569</v>
      </c>
      <c r="L14" s="101">
        <v>18252396</v>
      </c>
    </row>
    <row r="15" spans="1:13" ht="38.25" x14ac:dyDescent="0.25">
      <c r="C15" s="24" t="s">
        <v>154</v>
      </c>
      <c r="D15" s="101">
        <v>68913888</v>
      </c>
      <c r="E15" s="101">
        <v>3806238</v>
      </c>
      <c r="F15" s="102">
        <v>97035403</v>
      </c>
      <c r="G15" s="103">
        <v>58461136</v>
      </c>
      <c r="H15" s="101">
        <v>8449828</v>
      </c>
      <c r="I15" s="102">
        <v>43489537</v>
      </c>
      <c r="J15" s="103">
        <f>37519612+18587928</f>
        <v>56107540</v>
      </c>
      <c r="K15" s="101">
        <v>9016544</v>
      </c>
      <c r="L15" s="101">
        <v>59468884</v>
      </c>
    </row>
    <row r="16" spans="1:13" x14ac:dyDescent="0.25">
      <c r="C16" s="23" t="s">
        <v>271</v>
      </c>
      <c r="D16" s="101">
        <v>87084463</v>
      </c>
      <c r="E16" s="101">
        <v>10686614</v>
      </c>
      <c r="F16" s="102">
        <v>82162487</v>
      </c>
      <c r="G16" s="103">
        <v>82448102</v>
      </c>
      <c r="H16" s="101">
        <v>6373983</v>
      </c>
      <c r="I16" s="102">
        <v>38492069</v>
      </c>
      <c r="J16" s="103">
        <f>43976467+69426668</f>
        <v>113403135</v>
      </c>
      <c r="K16" s="101">
        <v>6131937</v>
      </c>
      <c r="L16" s="101">
        <v>75682707</v>
      </c>
    </row>
    <row r="17" spans="3:12" x14ac:dyDescent="0.25">
      <c r="C17" s="83" t="s">
        <v>28</v>
      </c>
      <c r="D17" s="70">
        <f t="shared" ref="D17:L17" si="0">SUM(D7:D16)</f>
        <v>819811503</v>
      </c>
      <c r="E17" s="70">
        <f t="shared" si="0"/>
        <v>90453907</v>
      </c>
      <c r="F17" s="77">
        <f t="shared" si="0"/>
        <v>512457690</v>
      </c>
      <c r="G17" s="104">
        <f t="shared" si="0"/>
        <v>722861868</v>
      </c>
      <c r="H17" s="70">
        <f t="shared" si="0"/>
        <v>117267620</v>
      </c>
      <c r="I17" s="77">
        <f t="shared" si="0"/>
        <v>242773936</v>
      </c>
      <c r="J17" s="104">
        <f t="shared" si="0"/>
        <v>803119928</v>
      </c>
      <c r="K17" s="70">
        <f t="shared" si="0"/>
        <v>120273945</v>
      </c>
      <c r="L17" s="70">
        <f t="shared" si="0"/>
        <v>376045590</v>
      </c>
    </row>
    <row r="18" spans="3:12" x14ac:dyDescent="0.25">
      <c r="C18" s="7"/>
      <c r="D18" s="26"/>
      <c r="G18" s="26"/>
      <c r="H18" s="26"/>
      <c r="I18" s="26"/>
      <c r="J18" s="34"/>
      <c r="K18" s="34"/>
      <c r="L18" s="34"/>
    </row>
    <row r="19" spans="3:12" x14ac:dyDescent="0.25">
      <c r="C19" s="27" t="s">
        <v>180</v>
      </c>
      <c r="D19" s="26"/>
      <c r="F19" s="26"/>
    </row>
    <row r="20" spans="3:12" x14ac:dyDescent="0.25"/>
    <row r="21" spans="3:12" x14ac:dyDescent="0.25"/>
    <row r="22" spans="3:12" ht="15.75" x14ac:dyDescent="0.25">
      <c r="C22" s="137" t="s">
        <v>273</v>
      </c>
      <c r="D22" s="137"/>
      <c r="E22" s="137"/>
      <c r="F22" s="137"/>
      <c r="G22" s="137"/>
      <c r="H22" s="137"/>
      <c r="I22" s="137"/>
    </row>
    <row r="23" spans="3:12" x14ac:dyDescent="0.25"/>
    <row r="24" spans="3:12" x14ac:dyDescent="0.25">
      <c r="C24" s="127" t="s">
        <v>36</v>
      </c>
      <c r="D24" s="127" t="s">
        <v>140</v>
      </c>
      <c r="E24" s="127"/>
      <c r="F24" s="131"/>
      <c r="G24" s="126" t="s">
        <v>141</v>
      </c>
      <c r="H24" s="127"/>
      <c r="I24" s="127"/>
    </row>
    <row r="25" spans="3:12" ht="25.5" x14ac:dyDescent="0.25">
      <c r="C25" s="127"/>
      <c r="D25" s="83" t="s">
        <v>142</v>
      </c>
      <c r="E25" s="83" t="s">
        <v>143</v>
      </c>
      <c r="F25" s="73" t="s">
        <v>155</v>
      </c>
      <c r="G25" s="100" t="s">
        <v>142</v>
      </c>
      <c r="H25" s="83" t="s">
        <v>143</v>
      </c>
      <c r="I25" s="66" t="s">
        <v>155</v>
      </c>
    </row>
    <row r="26" spans="3:12" x14ac:dyDescent="0.25">
      <c r="C26" s="23" t="s">
        <v>144</v>
      </c>
      <c r="D26" s="101">
        <v>275189428</v>
      </c>
      <c r="E26" s="101">
        <v>115373215</v>
      </c>
      <c r="F26" s="102">
        <v>11731655</v>
      </c>
      <c r="G26" s="103">
        <v>288308872</v>
      </c>
      <c r="H26" s="101">
        <v>61712168</v>
      </c>
      <c r="I26" s="101">
        <v>11102406</v>
      </c>
    </row>
    <row r="27" spans="3:12" x14ac:dyDescent="0.25">
      <c r="C27" s="23" t="s">
        <v>145</v>
      </c>
      <c r="D27" s="101">
        <v>73028179</v>
      </c>
      <c r="E27" s="101">
        <v>6724822</v>
      </c>
      <c r="F27" s="102">
        <v>11315125</v>
      </c>
      <c r="G27" s="103">
        <v>87171420</v>
      </c>
      <c r="H27" s="101">
        <v>7940645</v>
      </c>
      <c r="I27" s="101">
        <v>29895541</v>
      </c>
    </row>
    <row r="28" spans="3:12" x14ac:dyDescent="0.25">
      <c r="C28" s="23" t="s">
        <v>146</v>
      </c>
      <c r="D28" s="101">
        <v>38253791</v>
      </c>
      <c r="E28" s="101">
        <v>3054320</v>
      </c>
      <c r="F28" s="102">
        <v>13788955</v>
      </c>
      <c r="G28" s="103">
        <v>31802384</v>
      </c>
      <c r="H28" s="101">
        <v>2226327</v>
      </c>
      <c r="I28" s="101">
        <v>22174552</v>
      </c>
    </row>
    <row r="29" spans="3:12" x14ac:dyDescent="0.25">
      <c r="C29" s="23" t="s">
        <v>147</v>
      </c>
      <c r="D29" s="101">
        <v>54808775</v>
      </c>
      <c r="E29" s="101">
        <v>7313499</v>
      </c>
      <c r="F29" s="102">
        <v>21761008</v>
      </c>
      <c r="G29" s="103">
        <v>66971090</v>
      </c>
      <c r="H29" s="101">
        <v>10193595</v>
      </c>
      <c r="I29" s="101">
        <v>28970676</v>
      </c>
    </row>
    <row r="30" spans="3:12" x14ac:dyDescent="0.25">
      <c r="C30" s="23" t="s">
        <v>148</v>
      </c>
      <c r="D30" s="101">
        <v>74017559</v>
      </c>
      <c r="E30" s="101">
        <v>6116379</v>
      </c>
      <c r="F30" s="102">
        <v>21276220</v>
      </c>
      <c r="G30" s="103">
        <v>73562362</v>
      </c>
      <c r="H30" s="101">
        <v>4940324</v>
      </c>
      <c r="I30" s="101">
        <v>29856541</v>
      </c>
    </row>
    <row r="31" spans="3:12" x14ac:dyDescent="0.25">
      <c r="C31" s="23" t="s">
        <v>149</v>
      </c>
      <c r="D31" s="101">
        <v>69911586</v>
      </c>
      <c r="E31" s="101">
        <v>6547624</v>
      </c>
      <c r="F31" s="102">
        <v>28562211</v>
      </c>
      <c r="G31" s="103">
        <v>81517766</v>
      </c>
      <c r="H31" s="101">
        <v>9244735</v>
      </c>
      <c r="I31" s="101">
        <v>49641492</v>
      </c>
    </row>
    <row r="32" spans="3:12" x14ac:dyDescent="0.25">
      <c r="C32" s="23" t="s">
        <v>150</v>
      </c>
      <c r="D32" s="101">
        <v>34370885</v>
      </c>
      <c r="E32" s="101">
        <v>3896360</v>
      </c>
      <c r="F32" s="102">
        <v>16312042</v>
      </c>
      <c r="G32" s="103">
        <v>15918049</v>
      </c>
      <c r="H32" s="101">
        <v>512324</v>
      </c>
      <c r="I32" s="101">
        <v>22365564</v>
      </c>
    </row>
    <row r="33" spans="3:9" x14ac:dyDescent="0.25">
      <c r="C33" s="23" t="s">
        <v>151</v>
      </c>
      <c r="D33" s="101">
        <v>40222089</v>
      </c>
      <c r="E33" s="101">
        <v>3664381</v>
      </c>
      <c r="F33" s="102">
        <v>10020733</v>
      </c>
      <c r="G33" s="103">
        <v>38429971</v>
      </c>
      <c r="H33" s="101">
        <v>4900000</v>
      </c>
      <c r="I33" s="101">
        <v>33286974</v>
      </c>
    </row>
    <row r="34" spans="3:9" ht="38.25" x14ac:dyDescent="0.25">
      <c r="C34" s="24" t="s">
        <v>154</v>
      </c>
      <c r="D34" s="101">
        <v>109200969</v>
      </c>
      <c r="E34" s="101">
        <v>4529130</v>
      </c>
      <c r="F34" s="102">
        <v>26645632</v>
      </c>
      <c r="G34" s="103">
        <v>64049924</v>
      </c>
      <c r="H34" s="101">
        <v>9593309</v>
      </c>
      <c r="I34" s="101">
        <v>51786358</v>
      </c>
    </row>
    <row r="35" spans="3:9" x14ac:dyDescent="0.25">
      <c r="C35" s="23" t="s">
        <v>152</v>
      </c>
      <c r="D35" s="101">
        <v>69053991</v>
      </c>
      <c r="E35" s="101">
        <v>7237584</v>
      </c>
      <c r="F35" s="102">
        <v>43840929</v>
      </c>
      <c r="G35" s="103">
        <v>97421853</v>
      </c>
      <c r="H35" s="101">
        <v>8970815</v>
      </c>
      <c r="I35" s="101">
        <v>56710315</v>
      </c>
    </row>
    <row r="36" spans="3:9" x14ac:dyDescent="0.25">
      <c r="C36" s="83" t="s">
        <v>28</v>
      </c>
      <c r="D36" s="70">
        <f>SUM(D26:D35)</f>
        <v>838057252</v>
      </c>
      <c r="E36" s="70">
        <f t="shared" ref="E36:I36" si="1">SUM(E26:E35)</f>
        <v>164457314</v>
      </c>
      <c r="F36" s="77">
        <f t="shared" si="1"/>
        <v>205254510</v>
      </c>
      <c r="G36" s="104">
        <f t="shared" si="1"/>
        <v>845153691</v>
      </c>
      <c r="H36" s="70">
        <f t="shared" si="1"/>
        <v>120234242</v>
      </c>
      <c r="I36" s="70">
        <f t="shared" si="1"/>
        <v>335790419</v>
      </c>
    </row>
    <row r="37" spans="3:9" x14ac:dyDescent="0.25">
      <c r="C37" s="7"/>
    </row>
    <row r="38" spans="3:9" x14ac:dyDescent="0.25">
      <c r="C38" s="27" t="s">
        <v>180</v>
      </c>
      <c r="D38" s="105"/>
      <c r="E38" s="105"/>
      <c r="F38" s="105"/>
      <c r="G38" s="105"/>
      <c r="H38" s="105"/>
      <c r="I38" s="105"/>
    </row>
    <row r="39" spans="3:9" x14ac:dyDescent="0.25">
      <c r="C39" s="27"/>
    </row>
    <row r="40" spans="3:9" hidden="1" x14ac:dyDescent="0.25"/>
    <row r="41" spans="3:9" hidden="1" x14ac:dyDescent="0.25"/>
    <row r="42" spans="3:9" hidden="1" x14ac:dyDescent="0.25"/>
    <row r="43" spans="3:9" hidden="1" x14ac:dyDescent="0.25"/>
    <row r="44" spans="3:9" hidden="1" x14ac:dyDescent="0.25"/>
    <row r="45" spans="3:9" hidden="1" x14ac:dyDescent="0.25"/>
    <row r="46" spans="3:9" hidden="1" x14ac:dyDescent="0.25"/>
    <row r="47" spans="3:9" hidden="1" x14ac:dyDescent="0.25"/>
    <row r="48" spans="3: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password="CD78" sheet="1" objects="1" scenarios="1"/>
  <sortState ref="C7:F16">
    <sortCondition ref="C7"/>
  </sortState>
  <mergeCells count="10">
    <mergeCell ref="J5:L5"/>
    <mergeCell ref="C3:L3"/>
    <mergeCell ref="B1:M1"/>
    <mergeCell ref="C22:I22"/>
    <mergeCell ref="C24:C25"/>
    <mergeCell ref="D24:F24"/>
    <mergeCell ref="G24:I24"/>
    <mergeCell ref="D5:F5"/>
    <mergeCell ref="G5:I5"/>
    <mergeCell ref="C5:C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O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10.7109375" style="1" customWidth="1"/>
    <col min="3" max="3" width="34.7109375" style="1" customWidth="1"/>
    <col min="4" max="6" width="13.28515625" style="1" bestFit="1" customWidth="1"/>
    <col min="7" max="10" width="14.28515625" style="1" bestFit="1" customWidth="1"/>
    <col min="11" max="11" width="10.7109375" style="1" customWidth="1"/>
    <col min="12" max="15" width="0" style="1" hidden="1" customWidth="1"/>
    <col min="16" max="16384" width="11.42578125" style="1" hidden="1"/>
  </cols>
  <sheetData>
    <row r="1" spans="2:11" s="64" customFormat="1" ht="26.25" customHeight="1" x14ac:dyDescent="0.25">
      <c r="B1" s="141" t="s">
        <v>216</v>
      </c>
      <c r="C1" s="141"/>
      <c r="D1" s="141"/>
      <c r="E1" s="141"/>
      <c r="F1" s="141"/>
      <c r="G1" s="141"/>
      <c r="H1" s="141"/>
      <c r="I1" s="141"/>
      <c r="J1" s="141"/>
      <c r="K1" s="141"/>
    </row>
    <row r="2" spans="2:11" x14ac:dyDescent="0.25"/>
    <row r="3" spans="2:11" x14ac:dyDescent="0.25"/>
    <row r="4" spans="2:11" x14ac:dyDescent="0.25">
      <c r="C4" s="120" t="s">
        <v>0</v>
      </c>
      <c r="D4" s="120">
        <v>2006</v>
      </c>
      <c r="E4" s="120">
        <v>2007</v>
      </c>
      <c r="F4" s="120">
        <v>2008</v>
      </c>
      <c r="G4" s="120">
        <v>2009</v>
      </c>
      <c r="H4" s="120">
        <v>2010</v>
      </c>
      <c r="I4" s="120">
        <v>2011</v>
      </c>
      <c r="J4" s="120">
        <v>2012</v>
      </c>
    </row>
    <row r="5" spans="2:11" ht="25.5" x14ac:dyDescent="0.25">
      <c r="C5" s="122" t="s">
        <v>4</v>
      </c>
      <c r="D5" s="2">
        <v>8694585936</v>
      </c>
      <c r="E5" s="2">
        <v>10234613840</v>
      </c>
      <c r="F5" s="2">
        <v>10676905077</v>
      </c>
      <c r="G5" s="2">
        <v>11103178160</v>
      </c>
      <c r="H5" s="2">
        <v>10746587737</v>
      </c>
      <c r="I5" s="2">
        <v>11290451008.6</v>
      </c>
      <c r="J5" s="2">
        <v>12745152020</v>
      </c>
    </row>
    <row r="6" spans="2:11" x14ac:dyDescent="0.25">
      <c r="C6" s="122" t="s">
        <v>3</v>
      </c>
      <c r="D6" s="2">
        <v>77180285051</v>
      </c>
      <c r="E6" s="2">
        <v>85787716757</v>
      </c>
      <c r="F6" s="2">
        <v>92868460867</v>
      </c>
      <c r="G6" s="2">
        <v>102296607687</v>
      </c>
      <c r="H6" s="2">
        <v>115086499776</v>
      </c>
      <c r="I6" s="2">
        <v>122385882106.34</v>
      </c>
      <c r="J6" s="2">
        <v>133750773480.31</v>
      </c>
    </row>
    <row r="7" spans="2:11" x14ac:dyDescent="0.25">
      <c r="C7" s="120" t="s">
        <v>2</v>
      </c>
      <c r="D7" s="81">
        <f t="shared" ref="D7:H7" si="0">D5/D6</f>
        <v>0.11265293889825231</v>
      </c>
      <c r="E7" s="81">
        <f t="shared" si="0"/>
        <v>0.11930162296999108</v>
      </c>
      <c r="F7" s="81">
        <f t="shared" si="0"/>
        <v>0.11496804165076828</v>
      </c>
      <c r="G7" s="81">
        <f t="shared" si="0"/>
        <v>0.10853906508779575</v>
      </c>
      <c r="H7" s="81">
        <f t="shared" si="0"/>
        <v>9.337835243852885E-2</v>
      </c>
      <c r="I7" s="81">
        <f>I5/I6</f>
        <v>9.2252887459599531E-2</v>
      </c>
      <c r="J7" s="81">
        <f>J5/J6</f>
        <v>9.5290305157571795E-2</v>
      </c>
    </row>
    <row r="8" spans="2:11" x14ac:dyDescent="0.25"/>
    <row r="9" spans="2:11" x14ac:dyDescent="0.25">
      <c r="C9" s="3" t="s">
        <v>221</v>
      </c>
    </row>
    <row r="10" spans="2:11" x14ac:dyDescent="0.25"/>
    <row r="11" spans="2:11" x14ac:dyDescent="0.25"/>
    <row r="12" spans="2:11" x14ac:dyDescent="0.25"/>
    <row r="13" spans="2:11" x14ac:dyDescent="0.25"/>
    <row r="14" spans="2:11" x14ac:dyDescent="0.25"/>
    <row r="15" spans="2:11" x14ac:dyDescent="0.25"/>
    <row r="16" spans="2: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1">
    <mergeCell ref="B1:K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K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10.7109375" style="1" customWidth="1"/>
    <col min="3" max="3" width="32.28515625" style="1" customWidth="1"/>
    <col min="4" max="10" width="14.7109375" style="1" customWidth="1"/>
    <col min="11" max="11" width="10.7109375" style="1" customWidth="1"/>
    <col min="12" max="16384" width="11.42578125" style="1" hidden="1"/>
  </cols>
  <sheetData>
    <row r="1" spans="2:11" s="64" customFormat="1" ht="26.25" customHeight="1" x14ac:dyDescent="0.25">
      <c r="B1" s="132" t="s">
        <v>217</v>
      </c>
      <c r="C1" s="132"/>
      <c r="D1" s="132"/>
      <c r="E1" s="132"/>
      <c r="F1" s="132"/>
      <c r="G1" s="132"/>
      <c r="H1" s="132"/>
      <c r="I1" s="132"/>
      <c r="J1" s="132"/>
      <c r="K1" s="132"/>
    </row>
    <row r="2" spans="2:11" x14ac:dyDescent="0.25"/>
    <row r="3" spans="2:11" x14ac:dyDescent="0.25"/>
    <row r="4" spans="2:11" x14ac:dyDescent="0.25">
      <c r="C4" s="106" t="s">
        <v>0</v>
      </c>
      <c r="D4" s="106">
        <v>2006</v>
      </c>
      <c r="E4" s="106">
        <v>2007</v>
      </c>
      <c r="F4" s="106">
        <v>2008</v>
      </c>
      <c r="G4" s="106">
        <v>2009</v>
      </c>
      <c r="H4" s="106">
        <v>2010</v>
      </c>
      <c r="I4" s="106">
        <v>2011</v>
      </c>
      <c r="J4" s="106">
        <v>2012</v>
      </c>
    </row>
    <row r="5" spans="2:11" ht="25.5" x14ac:dyDescent="0.25">
      <c r="C5" s="122" t="s">
        <v>5</v>
      </c>
      <c r="D5" s="107">
        <v>4955399129</v>
      </c>
      <c r="E5" s="107">
        <v>7092685426</v>
      </c>
      <c r="F5" s="107">
        <v>7792090175</v>
      </c>
      <c r="G5" s="107">
        <v>8688504461</v>
      </c>
      <c r="H5" s="107">
        <v>6603770222</v>
      </c>
      <c r="I5" s="107">
        <v>6959681998.68332</v>
      </c>
      <c r="J5" s="107">
        <v>5645436414.1132984</v>
      </c>
    </row>
    <row r="6" spans="2:11" x14ac:dyDescent="0.25">
      <c r="C6" s="6" t="s">
        <v>6</v>
      </c>
      <c r="D6" s="107">
        <v>5022590978</v>
      </c>
      <c r="E6" s="107">
        <v>7123357807</v>
      </c>
      <c r="F6" s="107">
        <v>7841267458</v>
      </c>
      <c r="G6" s="107">
        <v>5091302880</v>
      </c>
      <c r="H6" s="107">
        <v>9012268232</v>
      </c>
      <c r="I6" s="107">
        <v>8796687540</v>
      </c>
      <c r="J6" s="107">
        <v>4473542000</v>
      </c>
    </row>
    <row r="7" spans="2:11" x14ac:dyDescent="0.25">
      <c r="C7" s="66" t="s">
        <v>2</v>
      </c>
      <c r="D7" s="81">
        <f>D5/D6</f>
        <v>0.98662207428510218</v>
      </c>
      <c r="E7" s="81">
        <f t="shared" ref="E7:I7" si="0">E5/E6</f>
        <v>0.99569411198608349</v>
      </c>
      <c r="F7" s="81">
        <f t="shared" si="0"/>
        <v>0.99372840127397677</v>
      </c>
      <c r="G7" s="81">
        <f t="shared" si="0"/>
        <v>1.7065385159328805</v>
      </c>
      <c r="H7" s="81">
        <f t="shared" si="0"/>
        <v>0.73275340369385489</v>
      </c>
      <c r="I7" s="81">
        <f t="shared" si="0"/>
        <v>0.79117076365808037</v>
      </c>
      <c r="J7" s="81">
        <f>J5/J6</f>
        <v>1.2619611963212369</v>
      </c>
    </row>
    <row r="8" spans="2:11" x14ac:dyDescent="0.25"/>
    <row r="9" spans="2:11" x14ac:dyDescent="0.25">
      <c r="C9" s="1" t="s">
        <v>221</v>
      </c>
    </row>
    <row r="10" spans="2:11" ht="13.5" thickBot="1" x14ac:dyDescent="0.3"/>
    <row r="11" spans="2:11" ht="12.75" customHeight="1" x14ac:dyDescent="0.25">
      <c r="C11" s="162" t="s">
        <v>274</v>
      </c>
      <c r="D11" s="163"/>
      <c r="E11" s="163"/>
      <c r="F11" s="163"/>
      <c r="G11" s="163"/>
      <c r="H11" s="163"/>
      <c r="I11" s="163"/>
      <c r="J11" s="164"/>
    </row>
    <row r="12" spans="2:11" ht="13.5" thickBot="1" x14ac:dyDescent="0.3">
      <c r="C12" s="165"/>
      <c r="D12" s="166"/>
      <c r="E12" s="166"/>
      <c r="F12" s="166"/>
      <c r="G12" s="166"/>
      <c r="H12" s="166"/>
      <c r="I12" s="166"/>
      <c r="J12" s="167"/>
    </row>
    <row r="13" spans="2:11" x14ac:dyDescent="0.25"/>
    <row r="14" spans="2:11" x14ac:dyDescent="0.25"/>
    <row r="15" spans="2:11" x14ac:dyDescent="0.25"/>
    <row r="16" spans="2: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2">
    <mergeCell ref="C11:J12"/>
    <mergeCell ref="B1:K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P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10.7109375" style="1" customWidth="1"/>
    <col min="3" max="3" width="18.7109375" style="1" customWidth="1"/>
    <col min="4" max="5" width="13.28515625" style="1" bestFit="1" customWidth="1"/>
    <col min="6" max="10" width="14.28515625" style="1" bestFit="1" customWidth="1"/>
    <col min="11" max="11" width="10.7109375" style="1" customWidth="1"/>
    <col min="12" max="16" width="0" style="1" hidden="1" customWidth="1"/>
    <col min="17" max="16384" width="11.42578125" style="1" hidden="1"/>
  </cols>
  <sheetData>
    <row r="1" spans="2:11" s="64" customFormat="1" ht="26.25" customHeight="1" x14ac:dyDescent="0.25">
      <c r="B1" s="132" t="s">
        <v>218</v>
      </c>
      <c r="C1" s="132"/>
      <c r="D1" s="132"/>
      <c r="E1" s="132"/>
      <c r="F1" s="132"/>
      <c r="G1" s="132"/>
      <c r="H1" s="132"/>
      <c r="I1" s="132"/>
      <c r="J1" s="132"/>
      <c r="K1" s="132"/>
    </row>
    <row r="2" spans="2:11" x14ac:dyDescent="0.25"/>
    <row r="3" spans="2:11" x14ac:dyDescent="0.25"/>
    <row r="4" spans="2:11" x14ac:dyDescent="0.25">
      <c r="C4" s="121" t="s">
        <v>0</v>
      </c>
      <c r="D4" s="121">
        <v>2006</v>
      </c>
      <c r="E4" s="121">
        <v>2007</v>
      </c>
      <c r="F4" s="121">
        <v>2008</v>
      </c>
      <c r="G4" s="121">
        <v>2009</v>
      </c>
      <c r="H4" s="121">
        <v>2010</v>
      </c>
      <c r="I4" s="121">
        <v>2011</v>
      </c>
      <c r="J4" s="121">
        <v>2012</v>
      </c>
    </row>
    <row r="5" spans="2:11" x14ac:dyDescent="0.25">
      <c r="C5" s="125" t="s">
        <v>7</v>
      </c>
      <c r="D5" s="2">
        <v>31167359296</v>
      </c>
      <c r="E5" s="2">
        <v>37243935761</v>
      </c>
      <c r="F5" s="2">
        <v>40830119477</v>
      </c>
      <c r="G5" s="2">
        <v>48920440623</v>
      </c>
      <c r="H5" s="2">
        <v>51329553562</v>
      </c>
      <c r="I5" s="2">
        <v>50857236622</v>
      </c>
      <c r="J5" s="2">
        <v>66555165276.209999</v>
      </c>
    </row>
    <row r="6" spans="2:11" x14ac:dyDescent="0.25">
      <c r="C6" s="121" t="s">
        <v>8</v>
      </c>
      <c r="D6" s="123">
        <v>85860685207</v>
      </c>
      <c r="E6" s="123">
        <v>95137850298</v>
      </c>
      <c r="F6" s="123">
        <v>101897644996</v>
      </c>
      <c r="G6" s="123">
        <v>114478252271</v>
      </c>
      <c r="H6" s="123">
        <v>122322014056</v>
      </c>
      <c r="I6" s="123">
        <v>124319273051</v>
      </c>
      <c r="J6" s="123">
        <v>150010011628</v>
      </c>
    </row>
    <row r="7" spans="2:11" x14ac:dyDescent="0.25">
      <c r="C7" s="168"/>
      <c r="D7" s="168"/>
      <c r="E7" s="168"/>
      <c r="F7" s="168"/>
      <c r="G7" s="168"/>
      <c r="H7" s="168"/>
      <c r="I7" s="168"/>
      <c r="J7" s="168"/>
    </row>
    <row r="8" spans="2:11" x14ac:dyDescent="0.25">
      <c r="C8" s="121" t="s">
        <v>2</v>
      </c>
      <c r="D8" s="124">
        <f t="shared" ref="D8:I8" si="0">D5/D6</f>
        <v>0.36299919131624875</v>
      </c>
      <c r="E8" s="124">
        <f t="shared" si="0"/>
        <v>0.39147337935785737</v>
      </c>
      <c r="F8" s="124">
        <f t="shared" si="0"/>
        <v>0.40069738097090263</v>
      </c>
      <c r="G8" s="124">
        <f t="shared" si="0"/>
        <v>0.42733392284145383</v>
      </c>
      <c r="H8" s="124">
        <f t="shared" si="0"/>
        <v>0.41962645855799036</v>
      </c>
      <c r="I8" s="124">
        <f t="shared" si="0"/>
        <v>0.40908569824999402</v>
      </c>
      <c r="J8" s="124">
        <f>J5/J6</f>
        <v>0.44367148934869621</v>
      </c>
    </row>
    <row r="9" spans="2:11" x14ac:dyDescent="0.25"/>
    <row r="10" spans="2:11" x14ac:dyDescent="0.25">
      <c r="C10" s="3" t="s">
        <v>221</v>
      </c>
    </row>
    <row r="11" spans="2:11" x14ac:dyDescent="0.25"/>
    <row r="12" spans="2:11" x14ac:dyDescent="0.25"/>
    <row r="13" spans="2:11" x14ac:dyDescent="0.25"/>
    <row r="14" spans="2:11" x14ac:dyDescent="0.25"/>
    <row r="15" spans="2:11" x14ac:dyDescent="0.25"/>
    <row r="16" spans="2:11" x14ac:dyDescent="0.25"/>
    <row r="17" spans="4:9" x14ac:dyDescent="0.25"/>
    <row r="18" spans="4:9" x14ac:dyDescent="0.25"/>
    <row r="19" spans="4:9" x14ac:dyDescent="0.25"/>
    <row r="20" spans="4:9" x14ac:dyDescent="0.25">
      <c r="D20" s="26"/>
      <c r="E20" s="26"/>
      <c r="F20" s="26"/>
      <c r="G20" s="26"/>
      <c r="H20" s="26"/>
    </row>
    <row r="21" spans="4:9" x14ac:dyDescent="0.25"/>
    <row r="22" spans="4:9" x14ac:dyDescent="0.25"/>
    <row r="23" spans="4:9" x14ac:dyDescent="0.25">
      <c r="D23" s="26"/>
      <c r="E23" s="26"/>
      <c r="F23" s="26"/>
      <c r="G23" s="26"/>
      <c r="H23" s="26"/>
      <c r="I23" s="26"/>
    </row>
    <row r="24" spans="4:9" x14ac:dyDescent="0.25"/>
    <row r="25" spans="4:9" x14ac:dyDescent="0.25"/>
    <row r="26" spans="4:9" x14ac:dyDescent="0.25"/>
    <row r="27" spans="4:9" x14ac:dyDescent="0.25"/>
    <row r="28" spans="4:9" x14ac:dyDescent="0.25"/>
    <row r="29" spans="4:9" x14ac:dyDescent="0.25"/>
    <row r="30" spans="4:9" x14ac:dyDescent="0.25"/>
    <row r="31" spans="4:9" x14ac:dyDescent="0.25"/>
    <row r="32" spans="4:9" x14ac:dyDescent="0.25"/>
    <row r="33" x14ac:dyDescent="0.25"/>
    <row r="34" x14ac:dyDescent="0.25"/>
    <row r="35" x14ac:dyDescent="0.25"/>
  </sheetData>
  <sheetProtection password="CD78" sheet="1" objects="1" scenarios="1"/>
  <mergeCells count="2">
    <mergeCell ref="C7:J7"/>
    <mergeCell ref="B1:K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92D050"/>
  </sheetPr>
  <dimension ref="A1:O3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15.7109375" style="1" customWidth="1"/>
    <col min="3" max="3" width="12.7109375" style="1" customWidth="1"/>
    <col min="4" max="5" width="16.7109375" style="1" customWidth="1"/>
    <col min="6" max="7" width="8.7109375" style="1" customWidth="1"/>
    <col min="8" max="8" width="10.7109375" style="1" customWidth="1"/>
    <col min="9" max="10" width="16.7109375" style="1" customWidth="1"/>
    <col min="11" max="11" width="15.7109375" style="1" customWidth="1"/>
    <col min="12" max="12" width="11.42578125" style="1" hidden="1" customWidth="1"/>
    <col min="13" max="15" width="0" style="1" hidden="1" customWidth="1"/>
    <col min="16" max="16384" width="11.42578125" style="1" hidden="1"/>
  </cols>
  <sheetData>
    <row r="1" spans="1:11" s="64" customFormat="1" ht="26.25" customHeight="1" x14ac:dyDescent="0.25">
      <c r="B1" s="132" t="s">
        <v>291</v>
      </c>
      <c r="C1" s="132"/>
      <c r="D1" s="132"/>
      <c r="E1" s="132"/>
      <c r="F1" s="132"/>
      <c r="G1" s="132"/>
      <c r="H1" s="132"/>
      <c r="I1" s="132"/>
      <c r="J1" s="132"/>
      <c r="K1" s="132"/>
    </row>
    <row r="2" spans="1:11" x14ac:dyDescent="0.25"/>
    <row r="3" spans="1:11" s="118" customFormat="1" ht="15.75" x14ac:dyDescent="0.25">
      <c r="A3" s="68"/>
      <c r="C3" s="137" t="s">
        <v>219</v>
      </c>
      <c r="D3" s="137"/>
      <c r="E3" s="137"/>
      <c r="F3" s="137"/>
      <c r="G3" s="137"/>
      <c r="H3" s="137"/>
      <c r="I3" s="137"/>
      <c r="J3" s="137"/>
    </row>
    <row r="4" spans="1:11" x14ac:dyDescent="0.25"/>
    <row r="5" spans="1:11" ht="25.5" x14ac:dyDescent="0.25">
      <c r="C5" s="121" t="s">
        <v>16</v>
      </c>
      <c r="D5" s="121" t="s">
        <v>23</v>
      </c>
      <c r="E5" s="121" t="s">
        <v>24</v>
      </c>
      <c r="G5" s="121" t="s">
        <v>15</v>
      </c>
      <c r="H5" s="121" t="s">
        <v>16</v>
      </c>
      <c r="I5" s="121" t="s">
        <v>25</v>
      </c>
      <c r="J5" s="121" t="s">
        <v>26</v>
      </c>
    </row>
    <row r="6" spans="1:11" x14ac:dyDescent="0.25">
      <c r="C6" s="119" t="s">
        <v>9</v>
      </c>
      <c r="D6" s="2">
        <v>141675</v>
      </c>
      <c r="E6" s="2">
        <v>283350</v>
      </c>
      <c r="G6" s="117">
        <v>1</v>
      </c>
      <c r="H6" s="117" t="s">
        <v>17</v>
      </c>
      <c r="I6" s="117">
        <v>0.25</v>
      </c>
      <c r="J6" s="117">
        <v>0.5</v>
      </c>
    </row>
    <row r="7" spans="1:11" x14ac:dyDescent="0.25">
      <c r="C7" s="119" t="s">
        <v>10</v>
      </c>
      <c r="D7" s="2">
        <v>283350</v>
      </c>
      <c r="E7" s="2">
        <v>566700</v>
      </c>
      <c r="G7" s="117">
        <v>2</v>
      </c>
      <c r="H7" s="117" t="s">
        <v>18</v>
      </c>
      <c r="I7" s="117">
        <v>0.5</v>
      </c>
      <c r="J7" s="117">
        <v>1</v>
      </c>
    </row>
    <row r="8" spans="1:11" x14ac:dyDescent="0.25">
      <c r="C8" s="119" t="s">
        <v>11</v>
      </c>
      <c r="D8" s="2">
        <v>425025</v>
      </c>
      <c r="E8" s="2">
        <v>850050</v>
      </c>
      <c r="G8" s="117">
        <v>3</v>
      </c>
      <c r="H8" s="117" t="s">
        <v>19</v>
      </c>
      <c r="I8" s="117">
        <v>0.75</v>
      </c>
      <c r="J8" s="117">
        <v>1.5</v>
      </c>
    </row>
    <row r="9" spans="1:11" x14ac:dyDescent="0.25">
      <c r="C9" s="119" t="s">
        <v>12</v>
      </c>
      <c r="D9" s="2">
        <v>566700</v>
      </c>
      <c r="E9" s="2">
        <v>1133400</v>
      </c>
      <c r="G9" s="117">
        <v>4</v>
      </c>
      <c r="H9" s="117" t="s">
        <v>20</v>
      </c>
      <c r="I9" s="117">
        <v>1</v>
      </c>
      <c r="J9" s="117">
        <v>2</v>
      </c>
    </row>
    <row r="10" spans="1:11" x14ac:dyDescent="0.25">
      <c r="C10" s="119" t="s">
        <v>13</v>
      </c>
      <c r="D10" s="2">
        <v>850050</v>
      </c>
      <c r="E10" s="2">
        <v>1700100</v>
      </c>
      <c r="G10" s="117">
        <v>5</v>
      </c>
      <c r="H10" s="117" t="s">
        <v>21</v>
      </c>
      <c r="I10" s="117">
        <v>1.5</v>
      </c>
      <c r="J10" s="117">
        <v>3</v>
      </c>
    </row>
    <row r="11" spans="1:11" x14ac:dyDescent="0.25">
      <c r="C11" s="119" t="s">
        <v>14</v>
      </c>
      <c r="D11" s="2">
        <v>1133400</v>
      </c>
      <c r="E11" s="2">
        <v>2266800</v>
      </c>
      <c r="G11" s="117">
        <v>6</v>
      </c>
      <c r="H11" s="117" t="s">
        <v>22</v>
      </c>
      <c r="I11" s="117">
        <v>2</v>
      </c>
      <c r="J11" s="117">
        <v>4</v>
      </c>
    </row>
    <row r="12" spans="1:11" x14ac:dyDescent="0.25"/>
    <row r="13" spans="1:11" x14ac:dyDescent="0.25">
      <c r="C13" s="3" t="s">
        <v>221</v>
      </c>
    </row>
    <row r="14" spans="1:11" x14ac:dyDescent="0.25"/>
    <row r="15" spans="1:11" ht="12.75" customHeight="1" x14ac:dyDescent="0.25">
      <c r="C15" s="169" t="s">
        <v>290</v>
      </c>
      <c r="D15" s="170"/>
      <c r="E15" s="170"/>
      <c r="F15" s="170"/>
      <c r="G15" s="170"/>
      <c r="H15" s="170"/>
      <c r="I15" s="170"/>
      <c r="J15" s="171"/>
    </row>
    <row r="16" spans="1:11" x14ac:dyDescent="0.25">
      <c r="C16" s="172"/>
      <c r="D16" s="173"/>
      <c r="E16" s="173"/>
      <c r="F16" s="173"/>
      <c r="G16" s="173"/>
      <c r="H16" s="173"/>
      <c r="I16" s="173"/>
      <c r="J16" s="174"/>
    </row>
    <row r="17" spans="3:10" x14ac:dyDescent="0.25">
      <c r="C17" s="175"/>
      <c r="D17" s="176"/>
      <c r="E17" s="176"/>
      <c r="F17" s="176"/>
      <c r="G17" s="176"/>
      <c r="H17" s="176"/>
      <c r="I17" s="176"/>
      <c r="J17" s="177"/>
    </row>
    <row r="18" spans="3:10" x14ac:dyDescent="0.25"/>
    <row r="19" spans="3:10" x14ac:dyDescent="0.25"/>
    <row r="20" spans="3:10" x14ac:dyDescent="0.25"/>
    <row r="21" spans="3:10" x14ac:dyDescent="0.25"/>
    <row r="22" spans="3:10" x14ac:dyDescent="0.25"/>
    <row r="23" spans="3:10" x14ac:dyDescent="0.25"/>
    <row r="24" spans="3:10" x14ac:dyDescent="0.25"/>
    <row r="25" spans="3:10" x14ac:dyDescent="0.25"/>
    <row r="26" spans="3:10" x14ac:dyDescent="0.25"/>
    <row r="27" spans="3:10" x14ac:dyDescent="0.25"/>
    <row r="28" spans="3:10" x14ac:dyDescent="0.25"/>
    <row r="29" spans="3:10" x14ac:dyDescent="0.25"/>
    <row r="30" spans="3:10" x14ac:dyDescent="0.25"/>
    <row r="31" spans="3:10" x14ac:dyDescent="0.25"/>
    <row r="32" spans="3:10" x14ac:dyDescent="0.25"/>
    <row r="33" x14ac:dyDescent="0.25"/>
    <row r="34" x14ac:dyDescent="0.25"/>
    <row r="35" x14ac:dyDescent="0.25"/>
    <row r="36" hidden="1" x14ac:dyDescent="0.25"/>
  </sheetData>
  <sheetProtection password="CD78" sheet="1" objects="1" scenarios="1"/>
  <mergeCells count="3">
    <mergeCell ref="C15:J17"/>
    <mergeCell ref="B1:K1"/>
    <mergeCell ref="C3:J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92D050"/>
  </sheetPr>
  <dimension ref="A1:N37"/>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0" defaultRowHeight="12.75" zeroHeight="1" x14ac:dyDescent="0.25"/>
  <cols>
    <col min="1" max="1" width="25.7109375" style="39" customWidth="1"/>
    <col min="2" max="2" width="5.7109375" style="1" customWidth="1"/>
    <col min="3" max="3" width="16.7109375" style="1" customWidth="1"/>
    <col min="4" max="4" width="21.7109375" style="1" customWidth="1"/>
    <col min="5" max="10" width="12.7109375" style="1" customWidth="1"/>
    <col min="11" max="11" width="13.7109375" style="1" customWidth="1"/>
    <col min="12" max="12" width="9.7109375" style="1" customWidth="1"/>
    <col min="13" max="13" width="13.7109375" style="1" customWidth="1"/>
    <col min="14" max="14" width="5.7109375" style="1" customWidth="1"/>
    <col min="15" max="16384" width="11.42578125" style="1" hidden="1"/>
  </cols>
  <sheetData>
    <row r="1" spans="1:14" s="64" customFormat="1" ht="26.25" x14ac:dyDescent="0.25">
      <c r="B1" s="132" t="s">
        <v>220</v>
      </c>
      <c r="C1" s="132"/>
      <c r="D1" s="132"/>
      <c r="E1" s="132"/>
      <c r="F1" s="132"/>
      <c r="G1" s="132"/>
      <c r="H1" s="132"/>
      <c r="I1" s="132"/>
      <c r="J1" s="132"/>
      <c r="K1" s="132"/>
      <c r="L1" s="132"/>
      <c r="M1" s="132"/>
      <c r="N1" s="132"/>
    </row>
    <row r="2" spans="1:14" x14ac:dyDescent="0.25">
      <c r="N2" s="58"/>
    </row>
    <row r="3" spans="1:14" s="36" customFormat="1" ht="15.75" x14ac:dyDescent="0.25">
      <c r="A3" s="68"/>
      <c r="C3" s="188" t="s">
        <v>285</v>
      </c>
      <c r="D3" s="188"/>
      <c r="E3" s="188"/>
      <c r="F3" s="188"/>
      <c r="G3" s="188"/>
      <c r="H3" s="188"/>
      <c r="I3" s="188"/>
      <c r="J3" s="188"/>
      <c r="K3" s="188"/>
      <c r="L3" s="188"/>
      <c r="M3" s="188"/>
      <c r="N3" s="38"/>
    </row>
    <row r="4" spans="1:14" s="36" customFormat="1" ht="15.75" x14ac:dyDescent="0.25">
      <c r="A4" s="68"/>
      <c r="C4" s="188"/>
      <c r="D4" s="188"/>
      <c r="E4" s="188"/>
      <c r="F4" s="188"/>
      <c r="G4" s="188"/>
      <c r="H4" s="188"/>
      <c r="I4" s="188"/>
      <c r="J4" s="188"/>
      <c r="K4" s="188"/>
      <c r="L4" s="188"/>
      <c r="M4" s="188"/>
      <c r="N4" s="38"/>
    </row>
    <row r="5" spans="1:14" x14ac:dyDescent="0.25">
      <c r="N5" s="58"/>
    </row>
    <row r="6" spans="1:14" ht="25.5" x14ac:dyDescent="0.25">
      <c r="C6" s="187" t="s">
        <v>27</v>
      </c>
      <c r="D6" s="187"/>
      <c r="E6" s="66" t="s">
        <v>275</v>
      </c>
      <c r="F6" s="66" t="s">
        <v>276</v>
      </c>
      <c r="G6" s="66" t="s">
        <v>277</v>
      </c>
      <c r="H6" s="66" t="s">
        <v>278</v>
      </c>
      <c r="I6" s="66" t="s">
        <v>279</v>
      </c>
      <c r="J6" s="66" t="s">
        <v>280</v>
      </c>
      <c r="K6" s="66" t="s">
        <v>281</v>
      </c>
      <c r="L6" s="66" t="s">
        <v>284</v>
      </c>
      <c r="M6" s="106" t="s">
        <v>28</v>
      </c>
    </row>
    <row r="7" spans="1:14" x14ac:dyDescent="0.25">
      <c r="C7" s="189" t="s">
        <v>29</v>
      </c>
      <c r="D7" s="112" t="s">
        <v>282</v>
      </c>
      <c r="E7" s="108">
        <v>355</v>
      </c>
      <c r="F7" s="108">
        <v>807</v>
      </c>
      <c r="G7" s="108">
        <v>620</v>
      </c>
      <c r="H7" s="108">
        <v>235</v>
      </c>
      <c r="I7" s="108">
        <v>79</v>
      </c>
      <c r="J7" s="108">
        <v>38</v>
      </c>
      <c r="K7" s="108"/>
      <c r="L7" s="108"/>
      <c r="M7" s="109">
        <f>SUM(E7:L7)</f>
        <v>2134</v>
      </c>
    </row>
    <row r="8" spans="1:14" x14ac:dyDescent="0.25">
      <c r="C8" s="189"/>
      <c r="D8" s="112" t="s">
        <v>283</v>
      </c>
      <c r="E8" s="114">
        <v>59124920.248540461</v>
      </c>
      <c r="F8" s="114">
        <v>230379430.25983006</v>
      </c>
      <c r="G8" s="114">
        <v>252142326.19480819</v>
      </c>
      <c r="H8" s="114">
        <v>166693587.0330739</v>
      </c>
      <c r="I8" s="114">
        <v>81495560.63682729</v>
      </c>
      <c r="J8" s="114">
        <v>59894995.670639217</v>
      </c>
      <c r="K8" s="114"/>
      <c r="L8" s="114"/>
      <c r="M8" s="115">
        <f t="shared" ref="M8:M20" si="0">SUM(E8:L8)</f>
        <v>849730820.04371905</v>
      </c>
    </row>
    <row r="9" spans="1:14" x14ac:dyDescent="0.25">
      <c r="C9" s="189" t="s">
        <v>30</v>
      </c>
      <c r="D9" s="112" t="s">
        <v>282</v>
      </c>
      <c r="E9" s="108">
        <v>2</v>
      </c>
      <c r="F9" s="108">
        <v>28</v>
      </c>
      <c r="G9" s="110"/>
      <c r="H9" s="108">
        <v>2</v>
      </c>
      <c r="I9" s="108"/>
      <c r="J9" s="108"/>
      <c r="K9" s="108"/>
      <c r="L9" s="108"/>
      <c r="M9" s="109">
        <f t="shared" si="0"/>
        <v>32</v>
      </c>
    </row>
    <row r="10" spans="1:14" x14ac:dyDescent="0.25">
      <c r="C10" s="189"/>
      <c r="D10" s="112" t="s">
        <v>283</v>
      </c>
      <c r="E10" s="114">
        <v>800000</v>
      </c>
      <c r="F10" s="114">
        <v>16847531</v>
      </c>
      <c r="G10" s="114"/>
      <c r="H10" s="114">
        <v>1365469</v>
      </c>
      <c r="I10" s="114"/>
      <c r="J10" s="114"/>
      <c r="K10" s="114"/>
      <c r="L10" s="114"/>
      <c r="M10" s="115">
        <f t="shared" si="0"/>
        <v>19013000</v>
      </c>
    </row>
    <row r="11" spans="1:14" x14ac:dyDescent="0.25">
      <c r="C11" s="189" t="s">
        <v>31</v>
      </c>
      <c r="D11" s="112" t="s">
        <v>282</v>
      </c>
      <c r="E11" s="108">
        <f>38+21+18</f>
        <v>77</v>
      </c>
      <c r="F11" s="108">
        <f>82+9+60</f>
        <v>151</v>
      </c>
      <c r="G11" s="108">
        <f>19+34</f>
        <v>53</v>
      </c>
      <c r="H11" s="108">
        <f>2+1</f>
        <v>3</v>
      </c>
      <c r="I11" s="108"/>
      <c r="J11" s="108"/>
      <c r="K11" s="108"/>
      <c r="L11" s="108"/>
      <c r="M11" s="109">
        <f t="shared" si="0"/>
        <v>284</v>
      </c>
    </row>
    <row r="12" spans="1:14" x14ac:dyDescent="0.25">
      <c r="C12" s="189"/>
      <c r="D12" s="112" t="s">
        <v>283</v>
      </c>
      <c r="E12" s="114">
        <f>7090842+3918829+3017685</f>
        <v>14027356</v>
      </c>
      <c r="F12" s="114">
        <f>22670500+2952981+18825778</f>
        <v>44449259</v>
      </c>
      <c r="G12" s="114">
        <f>4991711+14997728</f>
        <v>19989439</v>
      </c>
      <c r="H12" s="114">
        <f>701348+595035</f>
        <v>1296383</v>
      </c>
      <c r="I12" s="114"/>
      <c r="J12" s="114"/>
      <c r="K12" s="114"/>
      <c r="L12" s="114"/>
      <c r="M12" s="115">
        <f t="shared" si="0"/>
        <v>79762437</v>
      </c>
    </row>
    <row r="13" spans="1:14" x14ac:dyDescent="0.25">
      <c r="C13" s="189" t="s">
        <v>32</v>
      </c>
      <c r="D13" s="112" t="s">
        <v>282</v>
      </c>
      <c r="E13" s="108">
        <v>382</v>
      </c>
      <c r="F13" s="108">
        <v>555</v>
      </c>
      <c r="G13" s="108">
        <v>138</v>
      </c>
      <c r="H13" s="108">
        <v>12</v>
      </c>
      <c r="I13" s="108"/>
      <c r="J13" s="108"/>
      <c r="K13" s="108"/>
      <c r="L13" s="108">
        <v>5</v>
      </c>
      <c r="M13" s="109">
        <f t="shared" si="0"/>
        <v>1092</v>
      </c>
    </row>
    <row r="14" spans="1:14" x14ac:dyDescent="0.25">
      <c r="C14" s="189"/>
      <c r="D14" s="112" t="s">
        <v>283</v>
      </c>
      <c r="E14" s="114">
        <v>45959439.479999945</v>
      </c>
      <c r="F14" s="114">
        <v>65912320.776599981</v>
      </c>
      <c r="G14" s="114">
        <v>16080657.340000011</v>
      </c>
      <c r="H14" s="114">
        <v>1290792.32</v>
      </c>
      <c r="I14" s="114"/>
      <c r="J14" s="114"/>
      <c r="K14" s="114"/>
      <c r="L14" s="114">
        <v>461792.08</v>
      </c>
      <c r="M14" s="115">
        <f t="shared" si="0"/>
        <v>129705001.99659993</v>
      </c>
    </row>
    <row r="15" spans="1:14" x14ac:dyDescent="0.25">
      <c r="C15" s="189" t="s">
        <v>33</v>
      </c>
      <c r="D15" s="112" t="s">
        <v>282</v>
      </c>
      <c r="E15" s="108">
        <v>33</v>
      </c>
      <c r="F15" s="108">
        <v>60</v>
      </c>
      <c r="G15" s="108">
        <v>51</v>
      </c>
      <c r="H15" s="108">
        <v>11</v>
      </c>
      <c r="I15" s="108">
        <v>4</v>
      </c>
      <c r="J15" s="108">
        <v>2</v>
      </c>
      <c r="K15" s="108"/>
      <c r="L15" s="108"/>
      <c r="M15" s="109">
        <f t="shared" si="0"/>
        <v>161</v>
      </c>
    </row>
    <row r="16" spans="1:14" x14ac:dyDescent="0.25">
      <c r="C16" s="189"/>
      <c r="D16" s="112" t="s">
        <v>283</v>
      </c>
      <c r="E16" s="114">
        <v>7600725</v>
      </c>
      <c r="F16" s="114">
        <v>15450067</v>
      </c>
      <c r="G16" s="114">
        <v>18583461</v>
      </c>
      <c r="H16" s="114">
        <v>4662389</v>
      </c>
      <c r="I16" s="114">
        <v>3733830</v>
      </c>
      <c r="J16" s="114">
        <v>2383420</v>
      </c>
      <c r="K16" s="114"/>
      <c r="L16" s="114"/>
      <c r="M16" s="115">
        <f t="shared" si="0"/>
        <v>52413892</v>
      </c>
    </row>
    <row r="17" spans="3:13" x14ac:dyDescent="0.25">
      <c r="C17" s="189" t="s">
        <v>34</v>
      </c>
      <c r="D17" s="112" t="s">
        <v>282</v>
      </c>
      <c r="E17" s="108">
        <v>180</v>
      </c>
      <c r="F17" s="108">
        <v>180</v>
      </c>
      <c r="G17" s="108">
        <v>38</v>
      </c>
      <c r="H17" s="108">
        <v>5</v>
      </c>
      <c r="I17" s="108"/>
      <c r="J17" s="108"/>
      <c r="K17" s="108">
        <v>4</v>
      </c>
      <c r="L17" s="108"/>
      <c r="M17" s="109">
        <f t="shared" si="0"/>
        <v>407</v>
      </c>
    </row>
    <row r="18" spans="3:13" x14ac:dyDescent="0.25">
      <c r="C18" s="189"/>
      <c r="D18" s="112" t="s">
        <v>283</v>
      </c>
      <c r="E18" s="114">
        <v>19932650</v>
      </c>
      <c r="F18" s="114">
        <v>21151750</v>
      </c>
      <c r="G18" s="114">
        <v>4241300</v>
      </c>
      <c r="H18" s="114">
        <v>251850</v>
      </c>
      <c r="I18" s="116"/>
      <c r="J18" s="114"/>
      <c r="K18" s="114">
        <v>408800</v>
      </c>
      <c r="L18" s="114"/>
      <c r="M18" s="115">
        <f t="shared" si="0"/>
        <v>45986350</v>
      </c>
    </row>
    <row r="19" spans="3:13" x14ac:dyDescent="0.25">
      <c r="C19" s="189" t="s">
        <v>35</v>
      </c>
      <c r="D19" s="112" t="s">
        <v>282</v>
      </c>
      <c r="E19" s="108">
        <v>212</v>
      </c>
      <c r="F19" s="108">
        <v>249</v>
      </c>
      <c r="G19" s="108">
        <v>44</v>
      </c>
      <c r="H19" s="108">
        <v>3</v>
      </c>
      <c r="I19" s="108">
        <f>1+1</f>
        <v>2</v>
      </c>
      <c r="J19" s="108"/>
      <c r="K19" s="108"/>
      <c r="L19" s="108"/>
      <c r="M19" s="109">
        <f t="shared" si="0"/>
        <v>510</v>
      </c>
    </row>
    <row r="20" spans="3:13" x14ac:dyDescent="0.25">
      <c r="C20" s="189"/>
      <c r="D20" s="112" t="s">
        <v>283</v>
      </c>
      <c r="E20" s="114">
        <v>85980720</v>
      </c>
      <c r="F20" s="114">
        <v>101439295</v>
      </c>
      <c r="G20" s="114">
        <v>18990765</v>
      </c>
      <c r="H20" s="114">
        <v>956460</v>
      </c>
      <c r="I20" s="114">
        <f>503400+503400</f>
        <v>1006800</v>
      </c>
      <c r="J20" s="114"/>
      <c r="K20" s="114"/>
      <c r="L20" s="114"/>
      <c r="M20" s="115">
        <f t="shared" si="0"/>
        <v>208374040</v>
      </c>
    </row>
    <row r="21" spans="3:13" x14ac:dyDescent="0.25">
      <c r="C21" s="187" t="s">
        <v>286</v>
      </c>
      <c r="D21" s="187"/>
      <c r="E21" s="67">
        <f>+E7+E9+E11+E13+E15+E17+E19</f>
        <v>1241</v>
      </c>
      <c r="F21" s="67">
        <f t="shared" ref="F21:L21" si="1">+F7+F9+F11+F13+F15+F17+F19</f>
        <v>2030</v>
      </c>
      <c r="G21" s="67">
        <f t="shared" si="1"/>
        <v>944</v>
      </c>
      <c r="H21" s="67">
        <f t="shared" si="1"/>
        <v>271</v>
      </c>
      <c r="I21" s="67">
        <f t="shared" si="1"/>
        <v>85</v>
      </c>
      <c r="J21" s="67">
        <f t="shared" si="1"/>
        <v>40</v>
      </c>
      <c r="K21" s="67">
        <f t="shared" si="1"/>
        <v>4</v>
      </c>
      <c r="L21" s="67">
        <f t="shared" si="1"/>
        <v>5</v>
      </c>
      <c r="M21" s="67">
        <f>SUM(E21:L21)</f>
        <v>4620</v>
      </c>
    </row>
    <row r="22" spans="3:13" x14ac:dyDescent="0.25">
      <c r="C22" s="187" t="s">
        <v>287</v>
      </c>
      <c r="D22" s="187"/>
      <c r="E22" s="113">
        <f>E21/$M$21</f>
        <v>0.26861471861471864</v>
      </c>
      <c r="F22" s="113">
        <f t="shared" ref="F22:L22" si="2">F21/$M$21</f>
        <v>0.43939393939393939</v>
      </c>
      <c r="G22" s="113">
        <f t="shared" si="2"/>
        <v>0.20432900432900433</v>
      </c>
      <c r="H22" s="113">
        <f t="shared" si="2"/>
        <v>5.8658008658008659E-2</v>
      </c>
      <c r="I22" s="113">
        <f t="shared" si="2"/>
        <v>1.83982683982684E-2</v>
      </c>
      <c r="J22" s="113">
        <f t="shared" si="2"/>
        <v>8.658008658008658E-3</v>
      </c>
      <c r="K22" s="113">
        <f t="shared" si="2"/>
        <v>8.658008658008658E-4</v>
      </c>
      <c r="L22" s="113">
        <f t="shared" si="2"/>
        <v>1.0822510822510823E-3</v>
      </c>
      <c r="M22" s="111">
        <f>SUM(E22:L22)</f>
        <v>1</v>
      </c>
    </row>
    <row r="23" spans="3:13" x14ac:dyDescent="0.25">
      <c r="C23" s="187" t="s">
        <v>288</v>
      </c>
      <c r="D23" s="187"/>
      <c r="E23" s="70">
        <f>+E8+E10+E12+E14+E16+E18+E20</f>
        <v>233425810.72854042</v>
      </c>
      <c r="F23" s="70">
        <f t="shared" ref="F23:L23" si="3">+F8+F10+F12+F14+F16+F18+F20</f>
        <v>495629653.03643006</v>
      </c>
      <c r="G23" s="70">
        <f t="shared" si="3"/>
        <v>330027948.53480822</v>
      </c>
      <c r="H23" s="70">
        <f t="shared" si="3"/>
        <v>176516930.35307389</v>
      </c>
      <c r="I23" s="70">
        <f t="shared" si="3"/>
        <v>86236190.63682729</v>
      </c>
      <c r="J23" s="70">
        <f t="shared" si="3"/>
        <v>62278415.670639217</v>
      </c>
      <c r="K23" s="70">
        <f t="shared" si="3"/>
        <v>408800</v>
      </c>
      <c r="L23" s="70">
        <f t="shared" si="3"/>
        <v>461792.08</v>
      </c>
      <c r="M23" s="70">
        <f>SUM(E23:L23)</f>
        <v>1384985541.040319</v>
      </c>
    </row>
    <row r="24" spans="3:13" x14ac:dyDescent="0.25">
      <c r="C24" s="187" t="s">
        <v>289</v>
      </c>
      <c r="D24" s="187"/>
      <c r="E24" s="113">
        <f>E23/$M$23</f>
        <v>0.16854025100738942</v>
      </c>
      <c r="F24" s="113">
        <f t="shared" ref="F24:K24" si="4">F23/$M$23</f>
        <v>0.35785908108769315</v>
      </c>
      <c r="G24" s="113">
        <f t="shared" si="4"/>
        <v>0.23828981513186831</v>
      </c>
      <c r="H24" s="113">
        <f t="shared" si="4"/>
        <v>0.12745037772775941</v>
      </c>
      <c r="I24" s="113">
        <f t="shared" si="4"/>
        <v>6.2265047599018096E-2</v>
      </c>
      <c r="J24" s="113">
        <f t="shared" si="4"/>
        <v>4.4966834544611464E-2</v>
      </c>
      <c r="K24" s="113">
        <f t="shared" si="4"/>
        <v>2.9516553630800626E-4</v>
      </c>
      <c r="L24" s="113">
        <f>L23/$M$23</f>
        <v>3.3342736535222543E-4</v>
      </c>
      <c r="M24" s="111">
        <f>SUM(E24:L24)</f>
        <v>1.0000000000000002</v>
      </c>
    </row>
    <row r="25" spans="3:13" x14ac:dyDescent="0.25"/>
    <row r="26" spans="3:13" x14ac:dyDescent="0.25">
      <c r="C26" s="3" t="s">
        <v>221</v>
      </c>
    </row>
    <row r="27" spans="3:13" x14ac:dyDescent="0.25"/>
    <row r="28" spans="3:13" x14ac:dyDescent="0.25">
      <c r="C28" s="178" t="s">
        <v>222</v>
      </c>
      <c r="D28" s="179"/>
      <c r="E28" s="179"/>
      <c r="F28" s="179"/>
      <c r="G28" s="179"/>
      <c r="H28" s="179"/>
      <c r="I28" s="179"/>
      <c r="J28" s="179"/>
      <c r="K28" s="179"/>
      <c r="L28" s="179"/>
      <c r="M28" s="180"/>
    </row>
    <row r="29" spans="3:13" x14ac:dyDescent="0.25">
      <c r="C29" s="181"/>
      <c r="D29" s="182"/>
      <c r="E29" s="182"/>
      <c r="F29" s="182"/>
      <c r="G29" s="182"/>
      <c r="H29" s="182"/>
      <c r="I29" s="182"/>
      <c r="J29" s="182"/>
      <c r="K29" s="182"/>
      <c r="L29" s="182"/>
      <c r="M29" s="183"/>
    </row>
    <row r="30" spans="3:13" x14ac:dyDescent="0.25">
      <c r="C30" s="181"/>
      <c r="D30" s="182"/>
      <c r="E30" s="182"/>
      <c r="F30" s="182"/>
      <c r="G30" s="182"/>
      <c r="H30" s="182"/>
      <c r="I30" s="182"/>
      <c r="J30" s="182"/>
      <c r="K30" s="182"/>
      <c r="L30" s="182"/>
      <c r="M30" s="183"/>
    </row>
    <row r="31" spans="3:13" x14ac:dyDescent="0.25">
      <c r="C31" s="184"/>
      <c r="D31" s="185"/>
      <c r="E31" s="185"/>
      <c r="F31" s="185"/>
      <c r="G31" s="185"/>
      <c r="H31" s="185"/>
      <c r="I31" s="185"/>
      <c r="J31" s="185"/>
      <c r="K31" s="185"/>
      <c r="L31" s="185"/>
      <c r="M31" s="186"/>
    </row>
    <row r="32" spans="3:13" x14ac:dyDescent="0.25"/>
    <row r="33" x14ac:dyDescent="0.25"/>
    <row r="34" x14ac:dyDescent="0.25"/>
    <row r="35" x14ac:dyDescent="0.25"/>
    <row r="36" hidden="1" x14ac:dyDescent="0.25"/>
    <row r="37" hidden="1" x14ac:dyDescent="0.25"/>
  </sheetData>
  <sheetProtection password="CD78" sheet="1" objects="1" scenarios="1"/>
  <mergeCells count="15">
    <mergeCell ref="C28:M31"/>
    <mergeCell ref="B1:N1"/>
    <mergeCell ref="C21:D21"/>
    <mergeCell ref="C22:D22"/>
    <mergeCell ref="C23:D23"/>
    <mergeCell ref="C24:D24"/>
    <mergeCell ref="C3:M4"/>
    <mergeCell ref="C11:C12"/>
    <mergeCell ref="C13:C14"/>
    <mergeCell ref="C15:C16"/>
    <mergeCell ref="C17:C18"/>
    <mergeCell ref="C19:C20"/>
    <mergeCell ref="C6:D6"/>
    <mergeCell ref="C7:C8"/>
    <mergeCell ref="C9: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J6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10.7109375" style="1" customWidth="1"/>
    <col min="3" max="3" width="24.7109375" style="1" customWidth="1"/>
    <col min="4" max="4" width="4.42578125" style="1" hidden="1" customWidth="1"/>
    <col min="5" max="5" width="46.7109375" style="1" customWidth="1"/>
    <col min="6" max="6" width="12.7109375" style="1" customWidth="1"/>
    <col min="7" max="7" width="16.7109375" style="1" customWidth="1"/>
    <col min="8" max="8" width="12.7109375" style="1" customWidth="1"/>
    <col min="9" max="9" width="16.7109375" style="1" customWidth="1"/>
    <col min="10" max="10" width="10.7109375" style="1" customWidth="1"/>
    <col min="11" max="16384" width="11.42578125" style="1" hidden="1"/>
  </cols>
  <sheetData>
    <row r="1" spans="1:10" s="64" customFormat="1" ht="26.25" customHeight="1" x14ac:dyDescent="0.25">
      <c r="B1" s="132" t="s">
        <v>227</v>
      </c>
      <c r="C1" s="132"/>
      <c r="D1" s="132"/>
      <c r="E1" s="132"/>
      <c r="F1" s="132"/>
      <c r="G1" s="132"/>
      <c r="H1" s="132"/>
      <c r="I1" s="132"/>
      <c r="J1" s="132"/>
    </row>
    <row r="2" spans="1:10" x14ac:dyDescent="0.25"/>
    <row r="3" spans="1:10" s="22" customFormat="1" ht="15.75" x14ac:dyDescent="0.25">
      <c r="A3" s="65"/>
      <c r="C3" s="133" t="s">
        <v>226</v>
      </c>
      <c r="D3" s="133"/>
      <c r="E3" s="133"/>
      <c r="F3" s="133"/>
      <c r="G3" s="133"/>
      <c r="H3" s="133"/>
      <c r="I3" s="133"/>
      <c r="J3" s="35"/>
    </row>
    <row r="4" spans="1:10" x14ac:dyDescent="0.25"/>
    <row r="5" spans="1:10" x14ac:dyDescent="0.25">
      <c r="C5" s="127" t="s">
        <v>123</v>
      </c>
      <c r="D5" s="127" t="s">
        <v>124</v>
      </c>
      <c r="E5" s="127" t="s">
        <v>125</v>
      </c>
      <c r="F5" s="127" t="s">
        <v>136</v>
      </c>
      <c r="G5" s="131"/>
      <c r="H5" s="126" t="s">
        <v>137</v>
      </c>
      <c r="I5" s="127"/>
    </row>
    <row r="6" spans="1:10" ht="25.5" x14ac:dyDescent="0.25">
      <c r="C6" s="127"/>
      <c r="D6" s="127"/>
      <c r="E6" s="127"/>
      <c r="F6" s="66" t="s">
        <v>224</v>
      </c>
      <c r="G6" s="73" t="s">
        <v>228</v>
      </c>
      <c r="H6" s="74" t="s">
        <v>138</v>
      </c>
      <c r="I6" s="66" t="s">
        <v>228</v>
      </c>
    </row>
    <row r="7" spans="1:10" x14ac:dyDescent="0.25">
      <c r="C7" s="128" t="s">
        <v>126</v>
      </c>
      <c r="D7" s="12">
        <v>2</v>
      </c>
      <c r="E7" s="13" t="s">
        <v>127</v>
      </c>
      <c r="F7" s="71">
        <v>3</v>
      </c>
      <c r="G7" s="78">
        <v>150634</v>
      </c>
      <c r="H7" s="79">
        <v>7</v>
      </c>
      <c r="I7" s="72">
        <v>230307.42857142858</v>
      </c>
    </row>
    <row r="8" spans="1:10" x14ac:dyDescent="0.25">
      <c r="C8" s="128"/>
      <c r="D8" s="14">
        <v>4</v>
      </c>
      <c r="E8" s="15" t="s">
        <v>92</v>
      </c>
      <c r="F8" s="18">
        <v>321</v>
      </c>
      <c r="G8" s="76">
        <v>347994.65203761758</v>
      </c>
      <c r="H8" s="21">
        <v>315</v>
      </c>
      <c r="I8" s="69">
        <v>334711.12772585667</v>
      </c>
    </row>
    <row r="9" spans="1:10" x14ac:dyDescent="0.25">
      <c r="C9" s="128"/>
      <c r="D9" s="12">
        <v>3</v>
      </c>
      <c r="E9" s="13" t="s">
        <v>128</v>
      </c>
      <c r="F9" s="71">
        <v>6</v>
      </c>
      <c r="G9" s="78">
        <v>225592</v>
      </c>
      <c r="H9" s="79">
        <v>6</v>
      </c>
      <c r="I9" s="72">
        <v>204141.25</v>
      </c>
    </row>
    <row r="10" spans="1:10" x14ac:dyDescent="0.25">
      <c r="C10" s="128"/>
      <c r="D10" s="14">
        <v>66</v>
      </c>
      <c r="E10" s="15" t="s">
        <v>116</v>
      </c>
      <c r="F10" s="18">
        <v>135</v>
      </c>
      <c r="G10" s="76">
        <v>313508.73333333334</v>
      </c>
      <c r="H10" s="21">
        <v>117</v>
      </c>
      <c r="I10" s="69">
        <v>266494.05128205131</v>
      </c>
    </row>
    <row r="11" spans="1:10" x14ac:dyDescent="0.25">
      <c r="C11" s="128"/>
      <c r="D11" s="14">
        <v>68</v>
      </c>
      <c r="E11" s="15" t="s">
        <v>230</v>
      </c>
      <c r="F11" s="18">
        <v>620</v>
      </c>
      <c r="G11" s="76">
        <v>320044.34032258065</v>
      </c>
      <c r="H11" s="21">
        <v>661</v>
      </c>
      <c r="I11" s="69">
        <v>321780.0843373494</v>
      </c>
    </row>
    <row r="12" spans="1:10" x14ac:dyDescent="0.25">
      <c r="C12" s="128"/>
      <c r="D12" s="14">
        <v>1</v>
      </c>
      <c r="E12" s="15" t="s">
        <v>91</v>
      </c>
      <c r="F12" s="18">
        <v>380</v>
      </c>
      <c r="G12" s="76">
        <v>312233.76315789472</v>
      </c>
      <c r="H12" s="21">
        <v>310</v>
      </c>
      <c r="I12" s="69">
        <v>325789.30094043887</v>
      </c>
    </row>
    <row r="13" spans="1:10" x14ac:dyDescent="0.25">
      <c r="C13" s="128" t="s">
        <v>129</v>
      </c>
      <c r="D13" s="14">
        <v>27</v>
      </c>
      <c r="E13" s="15" t="s">
        <v>105</v>
      </c>
      <c r="F13" s="18">
        <v>673</v>
      </c>
      <c r="G13" s="76">
        <v>337606.86140089418</v>
      </c>
      <c r="H13" s="21">
        <v>696</v>
      </c>
      <c r="I13" s="69">
        <v>334286.59943582513</v>
      </c>
    </row>
    <row r="14" spans="1:10" ht="25.5" x14ac:dyDescent="0.25">
      <c r="C14" s="128"/>
      <c r="D14" s="14" t="s">
        <v>130</v>
      </c>
      <c r="E14" s="15" t="s">
        <v>90</v>
      </c>
      <c r="F14" s="18">
        <v>197</v>
      </c>
      <c r="G14" s="76">
        <v>374387.95360824745</v>
      </c>
      <c r="H14" s="21">
        <v>211</v>
      </c>
      <c r="I14" s="69">
        <v>386844.50710900471</v>
      </c>
    </row>
    <row r="15" spans="1:10" x14ac:dyDescent="0.25">
      <c r="C15" s="33" t="s">
        <v>131</v>
      </c>
      <c r="D15" s="14">
        <v>7</v>
      </c>
      <c r="E15" s="15" t="s">
        <v>94</v>
      </c>
      <c r="F15" s="18">
        <v>178</v>
      </c>
      <c r="G15" s="76">
        <v>267468.58285714284</v>
      </c>
      <c r="H15" s="21">
        <v>142</v>
      </c>
      <c r="I15" s="69">
        <v>265890.13380281691</v>
      </c>
    </row>
    <row r="16" spans="1:10" x14ac:dyDescent="0.25">
      <c r="C16" s="128" t="s">
        <v>132</v>
      </c>
      <c r="D16" s="14">
        <v>6</v>
      </c>
      <c r="E16" s="15" t="s">
        <v>93</v>
      </c>
      <c r="F16" s="18">
        <v>673</v>
      </c>
      <c r="G16" s="76">
        <v>262035.07313432836</v>
      </c>
      <c r="H16" s="21">
        <v>699</v>
      </c>
      <c r="I16" s="69">
        <v>288221.28368794324</v>
      </c>
    </row>
    <row r="17" spans="3:9" x14ac:dyDescent="0.25">
      <c r="C17" s="128"/>
      <c r="D17" s="12">
        <v>10</v>
      </c>
      <c r="E17" s="13" t="s">
        <v>133</v>
      </c>
      <c r="F17" s="71">
        <v>5</v>
      </c>
      <c r="G17" s="78">
        <v>206683.8</v>
      </c>
      <c r="H17" s="79">
        <v>8</v>
      </c>
      <c r="I17" s="72">
        <v>183243.125</v>
      </c>
    </row>
    <row r="18" spans="3:9" x14ac:dyDescent="0.25">
      <c r="C18" s="128"/>
      <c r="D18" s="14">
        <v>9</v>
      </c>
      <c r="E18" s="15" t="s">
        <v>95</v>
      </c>
      <c r="F18" s="18">
        <v>446</v>
      </c>
      <c r="G18" s="76">
        <v>279873.19406392693</v>
      </c>
      <c r="H18" s="21">
        <v>472</v>
      </c>
      <c r="I18" s="69">
        <v>281471.47991543339</v>
      </c>
    </row>
    <row r="19" spans="3:9" x14ac:dyDescent="0.25">
      <c r="C19" s="128"/>
      <c r="D19" s="14">
        <v>21</v>
      </c>
      <c r="E19" s="15" t="s">
        <v>100</v>
      </c>
      <c r="F19" s="18">
        <v>317</v>
      </c>
      <c r="G19" s="76">
        <v>242697.26198083066</v>
      </c>
      <c r="H19" s="21">
        <v>318</v>
      </c>
      <c r="I19" s="69">
        <v>241707.69592476488</v>
      </c>
    </row>
    <row r="20" spans="3:9" x14ac:dyDescent="0.25">
      <c r="C20" s="128"/>
      <c r="D20" s="14">
        <v>33</v>
      </c>
      <c r="E20" s="15" t="s">
        <v>109</v>
      </c>
      <c r="F20" s="18">
        <v>744</v>
      </c>
      <c r="G20" s="76">
        <v>300445.050067659</v>
      </c>
      <c r="H20" s="21">
        <v>791</v>
      </c>
      <c r="I20" s="69">
        <v>294992.60632911394</v>
      </c>
    </row>
    <row r="21" spans="3:9" x14ac:dyDescent="0.25">
      <c r="C21" s="128" t="s">
        <v>134</v>
      </c>
      <c r="D21" s="14">
        <v>32</v>
      </c>
      <c r="E21" s="15" t="s">
        <v>108</v>
      </c>
      <c r="F21" s="18">
        <v>703</v>
      </c>
      <c r="G21" s="76">
        <v>340133.39285714284</v>
      </c>
      <c r="H21" s="21">
        <v>715</v>
      </c>
      <c r="I21" s="69">
        <v>347188.58938547486</v>
      </c>
    </row>
    <row r="22" spans="3:9" x14ac:dyDescent="0.25">
      <c r="C22" s="128"/>
      <c r="D22" s="14">
        <v>31</v>
      </c>
      <c r="E22" s="15" t="s">
        <v>107</v>
      </c>
      <c r="F22" s="18">
        <v>740</v>
      </c>
      <c r="G22" s="76">
        <v>477760.57200538355</v>
      </c>
      <c r="H22" s="21">
        <v>748</v>
      </c>
      <c r="I22" s="69">
        <v>497178.58300132805</v>
      </c>
    </row>
    <row r="23" spans="3:9" x14ac:dyDescent="0.25">
      <c r="C23" s="33" t="s">
        <v>97</v>
      </c>
      <c r="D23" s="14">
        <v>13</v>
      </c>
      <c r="E23" s="15" t="s">
        <v>97</v>
      </c>
      <c r="F23" s="18">
        <v>1141</v>
      </c>
      <c r="G23" s="76">
        <v>366739.32334801764</v>
      </c>
      <c r="H23" s="21">
        <v>1156</v>
      </c>
      <c r="I23" s="69">
        <v>363459.43733794295</v>
      </c>
    </row>
    <row r="24" spans="3:9" x14ac:dyDescent="0.25">
      <c r="C24" s="33" t="s">
        <v>98</v>
      </c>
      <c r="D24" s="14">
        <v>14</v>
      </c>
      <c r="E24" s="15" t="s">
        <v>98</v>
      </c>
      <c r="F24" s="18">
        <v>828</v>
      </c>
      <c r="G24" s="76">
        <v>422588.25609756098</v>
      </c>
      <c r="H24" s="21">
        <v>866</v>
      </c>
      <c r="I24" s="69">
        <v>422933.71871412167</v>
      </c>
    </row>
    <row r="25" spans="3:9" x14ac:dyDescent="0.25">
      <c r="C25" s="128" t="s">
        <v>135</v>
      </c>
      <c r="D25" s="14">
        <v>28</v>
      </c>
      <c r="E25" s="15" t="s">
        <v>106</v>
      </c>
      <c r="F25" s="18">
        <v>657</v>
      </c>
      <c r="G25" s="76">
        <v>326866.95129375951</v>
      </c>
      <c r="H25" s="21">
        <v>658</v>
      </c>
      <c r="I25" s="69">
        <v>343470.80181543116</v>
      </c>
    </row>
    <row r="26" spans="3:9" x14ac:dyDescent="0.25">
      <c r="C26" s="128"/>
      <c r="D26" s="14">
        <v>12</v>
      </c>
      <c r="E26" s="15" t="s">
        <v>96</v>
      </c>
      <c r="F26" s="18">
        <v>801</v>
      </c>
      <c r="G26" s="76">
        <v>358798.52059925091</v>
      </c>
      <c r="H26" s="21">
        <v>878</v>
      </c>
      <c r="I26" s="69">
        <v>368385.8978185993</v>
      </c>
    </row>
    <row r="27" spans="3:9" x14ac:dyDescent="0.25">
      <c r="C27" s="128"/>
      <c r="D27" s="14">
        <v>34</v>
      </c>
      <c r="E27" s="15" t="s">
        <v>110</v>
      </c>
      <c r="F27" s="18">
        <v>296</v>
      </c>
      <c r="G27" s="76">
        <v>331283.35862068966</v>
      </c>
      <c r="H27" s="21">
        <v>246</v>
      </c>
      <c r="I27" s="69">
        <v>350617.45528455282</v>
      </c>
    </row>
    <row r="28" spans="3:9" x14ac:dyDescent="0.25">
      <c r="C28" s="128" t="s">
        <v>231</v>
      </c>
      <c r="D28" s="14">
        <v>16</v>
      </c>
      <c r="E28" s="15" t="s">
        <v>99</v>
      </c>
      <c r="F28" s="18">
        <v>357</v>
      </c>
      <c r="G28" s="76">
        <v>358269.60112359549</v>
      </c>
      <c r="H28" s="21">
        <v>396</v>
      </c>
      <c r="I28" s="69">
        <v>364539.28678304242</v>
      </c>
    </row>
    <row r="29" spans="3:9" x14ac:dyDescent="0.25">
      <c r="C29" s="128"/>
      <c r="D29" s="14">
        <v>22</v>
      </c>
      <c r="E29" s="15" t="s">
        <v>101</v>
      </c>
      <c r="F29" s="18">
        <v>425</v>
      </c>
      <c r="G29" s="76">
        <v>289675.53791469196</v>
      </c>
      <c r="H29" s="21">
        <v>446</v>
      </c>
      <c r="I29" s="69">
        <v>295279.32967032969</v>
      </c>
    </row>
    <row r="30" spans="3:9" x14ac:dyDescent="0.25">
      <c r="C30" s="128"/>
      <c r="D30" s="14">
        <v>23</v>
      </c>
      <c r="E30" s="15" t="s">
        <v>102</v>
      </c>
      <c r="F30" s="18">
        <v>602</v>
      </c>
      <c r="G30" s="76">
        <v>315152.37989778537</v>
      </c>
      <c r="H30" s="21">
        <v>619</v>
      </c>
      <c r="I30" s="69">
        <v>325199.09624796087</v>
      </c>
    </row>
    <row r="31" spans="3:9" x14ac:dyDescent="0.25">
      <c r="C31" s="128"/>
      <c r="D31" s="14">
        <v>24</v>
      </c>
      <c r="E31" s="15" t="s">
        <v>103</v>
      </c>
      <c r="F31" s="18">
        <v>460</v>
      </c>
      <c r="G31" s="76">
        <v>345324.27233115467</v>
      </c>
      <c r="H31" s="21">
        <v>484</v>
      </c>
      <c r="I31" s="69">
        <v>351517.21991701244</v>
      </c>
    </row>
    <row r="32" spans="3:9" x14ac:dyDescent="0.25">
      <c r="C32" s="128"/>
      <c r="D32" s="14">
        <v>25</v>
      </c>
      <c r="E32" s="15" t="s">
        <v>104</v>
      </c>
      <c r="F32" s="18">
        <v>292</v>
      </c>
      <c r="G32" s="76">
        <v>346668.15807560139</v>
      </c>
      <c r="H32" s="21">
        <v>270</v>
      </c>
      <c r="I32" s="69">
        <v>330472.42750929366</v>
      </c>
    </row>
    <row r="33" spans="1:9" x14ac:dyDescent="0.25">
      <c r="C33" s="127" t="s">
        <v>28</v>
      </c>
      <c r="D33" s="127"/>
      <c r="E33" s="127"/>
      <c r="F33" s="67">
        <f>SUM(F7:F32)</f>
        <v>12000</v>
      </c>
      <c r="G33" s="77">
        <f>+AVERAGE(G7:G32)</f>
        <v>316171.75346650335</v>
      </c>
      <c r="H33" s="75">
        <f>SUM(H7:H32)</f>
        <v>12235</v>
      </c>
      <c r="I33" s="70">
        <f>+AVERAGE(I7:I32)</f>
        <v>320004.71221335063</v>
      </c>
    </row>
    <row r="34" spans="1:9" x14ac:dyDescent="0.25">
      <c r="C34" s="4"/>
      <c r="D34" s="4"/>
      <c r="E34" s="4"/>
      <c r="F34" s="4"/>
      <c r="G34" s="4"/>
      <c r="H34" s="4"/>
      <c r="I34" s="4"/>
    </row>
    <row r="35" spans="1:9" x14ac:dyDescent="0.25">
      <c r="C35" s="3" t="s">
        <v>1</v>
      </c>
      <c r="D35" s="4"/>
      <c r="E35" s="4"/>
      <c r="F35" s="4"/>
      <c r="G35" s="19"/>
      <c r="H35" s="4"/>
      <c r="I35" s="4"/>
    </row>
    <row r="36" spans="1:9" ht="13.5" thickBot="1" x14ac:dyDescent="0.3">
      <c r="C36" s="4"/>
      <c r="D36" s="4"/>
      <c r="E36" s="4"/>
      <c r="F36" s="4"/>
      <c r="G36" s="4"/>
      <c r="H36" s="4"/>
      <c r="I36" s="4"/>
    </row>
    <row r="37" spans="1:9" ht="13.5" thickBot="1" x14ac:dyDescent="0.3">
      <c r="C37" s="134" t="s">
        <v>229</v>
      </c>
      <c r="D37" s="135"/>
      <c r="E37" s="135"/>
      <c r="F37" s="135"/>
      <c r="G37" s="135"/>
      <c r="H37" s="135"/>
      <c r="I37" s="136"/>
    </row>
    <row r="38" spans="1:9" x14ac:dyDescent="0.25">
      <c r="C38" s="4"/>
      <c r="D38" s="4"/>
      <c r="E38" s="4"/>
      <c r="F38" s="4"/>
      <c r="G38" s="4"/>
      <c r="H38" s="4"/>
      <c r="I38" s="4"/>
    </row>
    <row r="39" spans="1:9" x14ac:dyDescent="0.25">
      <c r="C39" s="4"/>
      <c r="D39" s="4"/>
      <c r="E39" s="4"/>
      <c r="F39" s="4"/>
      <c r="G39" s="4"/>
      <c r="H39" s="4"/>
      <c r="I39" s="4"/>
    </row>
    <row r="40" spans="1:9" s="36" customFormat="1" ht="15.75" x14ac:dyDescent="0.25">
      <c r="A40" s="68"/>
      <c r="C40" s="137" t="s">
        <v>225</v>
      </c>
      <c r="D40" s="137"/>
      <c r="E40" s="137"/>
      <c r="F40" s="137"/>
      <c r="G40" s="137"/>
      <c r="H40" s="137"/>
      <c r="I40" s="137"/>
    </row>
    <row r="41" spans="1:9" x14ac:dyDescent="0.25">
      <c r="C41" s="4"/>
      <c r="D41" s="4"/>
      <c r="E41" s="4"/>
      <c r="F41" s="4"/>
      <c r="G41" s="4"/>
      <c r="H41" s="4"/>
      <c r="I41" s="4"/>
    </row>
    <row r="42" spans="1:9" x14ac:dyDescent="0.25">
      <c r="C42" s="127" t="s">
        <v>123</v>
      </c>
      <c r="D42" s="127" t="s">
        <v>124</v>
      </c>
      <c r="E42" s="127" t="s">
        <v>125</v>
      </c>
      <c r="F42" s="127" t="s">
        <v>136</v>
      </c>
      <c r="G42" s="131"/>
      <c r="H42" s="126" t="s">
        <v>137</v>
      </c>
      <c r="I42" s="127"/>
    </row>
    <row r="43" spans="1:9" ht="25.5" x14ac:dyDescent="0.25">
      <c r="C43" s="127"/>
      <c r="D43" s="127"/>
      <c r="E43" s="127"/>
      <c r="F43" s="66" t="s">
        <v>138</v>
      </c>
      <c r="G43" s="73" t="s">
        <v>139</v>
      </c>
      <c r="H43" s="74" t="s">
        <v>138</v>
      </c>
      <c r="I43" s="66" t="s">
        <v>139</v>
      </c>
    </row>
    <row r="44" spans="1:9" x14ac:dyDescent="0.25">
      <c r="C44" s="130" t="s">
        <v>134</v>
      </c>
      <c r="D44" s="16">
        <v>91</v>
      </c>
      <c r="E44" s="17" t="s">
        <v>120</v>
      </c>
      <c r="F44" s="18">
        <v>10</v>
      </c>
      <c r="G44" s="76">
        <v>1643435</v>
      </c>
      <c r="H44" s="21">
        <v>8</v>
      </c>
      <c r="I44" s="69">
        <v>1601027.9</v>
      </c>
    </row>
    <row r="45" spans="1:9" x14ac:dyDescent="0.25">
      <c r="C45" s="130"/>
      <c r="D45" s="14">
        <v>92</v>
      </c>
      <c r="E45" s="20" t="s">
        <v>121</v>
      </c>
      <c r="F45" s="18">
        <v>242</v>
      </c>
      <c r="G45" s="76">
        <v>3187365.3553719008</v>
      </c>
      <c r="H45" s="21">
        <v>277</v>
      </c>
      <c r="I45" s="69">
        <v>3222520.1985559566</v>
      </c>
    </row>
    <row r="46" spans="1:9" x14ac:dyDescent="0.25">
      <c r="C46" s="130"/>
      <c r="D46" s="14">
        <v>99</v>
      </c>
      <c r="E46" s="20" t="s">
        <v>122</v>
      </c>
      <c r="F46" s="18">
        <v>178</v>
      </c>
      <c r="G46" s="76">
        <v>1642795.2171428571</v>
      </c>
      <c r="H46" s="21">
        <v>184</v>
      </c>
      <c r="I46" s="69">
        <v>1669947.4450549451</v>
      </c>
    </row>
    <row r="47" spans="1:9" x14ac:dyDescent="0.25">
      <c r="C47" s="5" t="s">
        <v>97</v>
      </c>
      <c r="D47" s="14">
        <v>38</v>
      </c>
      <c r="E47" s="20" t="s">
        <v>113</v>
      </c>
      <c r="F47" s="18">
        <v>799</v>
      </c>
      <c r="G47" s="76">
        <v>1389281</v>
      </c>
      <c r="H47" s="21">
        <v>818</v>
      </c>
      <c r="I47" s="69">
        <v>1420494.0668316833</v>
      </c>
    </row>
    <row r="48" spans="1:9" x14ac:dyDescent="0.25">
      <c r="C48" s="5" t="s">
        <v>98</v>
      </c>
      <c r="D48" s="14">
        <v>39</v>
      </c>
      <c r="E48" s="20" t="s">
        <v>114</v>
      </c>
      <c r="F48" s="18">
        <v>19</v>
      </c>
      <c r="G48" s="76">
        <v>1262778.0555555555</v>
      </c>
      <c r="H48" s="21">
        <v>17</v>
      </c>
      <c r="I48" s="69">
        <v>1211174.0555555555</v>
      </c>
    </row>
    <row r="49" spans="3:9" ht="20.100000000000001" customHeight="1" x14ac:dyDescent="0.25">
      <c r="C49" s="129" t="s">
        <v>135</v>
      </c>
      <c r="D49" s="14">
        <v>37</v>
      </c>
      <c r="E49" s="20" t="s">
        <v>112</v>
      </c>
      <c r="F49" s="18">
        <v>280</v>
      </c>
      <c r="G49" s="76">
        <v>1404885.4087591241</v>
      </c>
      <c r="H49" s="21">
        <v>281</v>
      </c>
      <c r="I49" s="69">
        <v>1432788.0727272728</v>
      </c>
    </row>
    <row r="50" spans="3:9" ht="20.100000000000001" customHeight="1" x14ac:dyDescent="0.25">
      <c r="C50" s="129"/>
      <c r="D50" s="14">
        <v>36</v>
      </c>
      <c r="E50" s="20" t="s">
        <v>111</v>
      </c>
      <c r="F50" s="18">
        <v>296</v>
      </c>
      <c r="G50" s="76">
        <v>1347490.2482993198</v>
      </c>
      <c r="H50" s="21">
        <v>289</v>
      </c>
      <c r="I50" s="69">
        <v>1384286.1072664361</v>
      </c>
    </row>
    <row r="51" spans="3:9" x14ac:dyDescent="0.25">
      <c r="C51" s="130" t="s">
        <v>231</v>
      </c>
      <c r="D51" s="14">
        <v>53</v>
      </c>
      <c r="E51" s="20" t="s">
        <v>115</v>
      </c>
      <c r="F51" s="18">
        <v>117</v>
      </c>
      <c r="G51" s="76">
        <v>1297423.3304347827</v>
      </c>
      <c r="H51" s="21">
        <v>99</v>
      </c>
      <c r="I51" s="69">
        <v>1331913.6990291262</v>
      </c>
    </row>
    <row r="52" spans="3:9" x14ac:dyDescent="0.25">
      <c r="C52" s="130"/>
      <c r="D52" s="14">
        <v>89</v>
      </c>
      <c r="E52" s="20" t="s">
        <v>119</v>
      </c>
      <c r="F52" s="18">
        <v>129</v>
      </c>
      <c r="G52" s="76">
        <v>1405880.90625</v>
      </c>
      <c r="H52" s="21">
        <v>147</v>
      </c>
      <c r="I52" s="69">
        <v>1364616.9867549669</v>
      </c>
    </row>
    <row r="53" spans="3:9" ht="25.5" x14ac:dyDescent="0.25">
      <c r="C53" s="130"/>
      <c r="D53" s="14">
        <v>86</v>
      </c>
      <c r="E53" s="20" t="s">
        <v>117</v>
      </c>
      <c r="F53" s="18">
        <v>267</v>
      </c>
      <c r="G53" s="76">
        <v>1443298.5969581748</v>
      </c>
      <c r="H53" s="21">
        <v>312</v>
      </c>
      <c r="I53" s="69">
        <v>1477121.1672727272</v>
      </c>
    </row>
    <row r="54" spans="3:9" x14ac:dyDescent="0.25">
      <c r="C54" s="130"/>
      <c r="D54" s="14">
        <v>87</v>
      </c>
      <c r="E54" s="20" t="s">
        <v>118</v>
      </c>
      <c r="F54" s="18">
        <v>129</v>
      </c>
      <c r="G54" s="76">
        <v>1449994</v>
      </c>
      <c r="H54" s="21">
        <v>167</v>
      </c>
      <c r="I54" s="69">
        <v>1453664.3846153845</v>
      </c>
    </row>
    <row r="55" spans="3:9" x14ac:dyDescent="0.25">
      <c r="C55" s="127" t="s">
        <v>28</v>
      </c>
      <c r="D55" s="127"/>
      <c r="E55" s="127"/>
      <c r="F55" s="67">
        <f>SUM(F44:F54)</f>
        <v>2466</v>
      </c>
      <c r="G55" s="77">
        <f>+AVERAGE(G44:G54)</f>
        <v>1588602.4653428833</v>
      </c>
      <c r="H55" s="75">
        <f>SUM(H44:H54)</f>
        <v>2599</v>
      </c>
      <c r="I55" s="70">
        <f>+AVERAGE(I44:I54)</f>
        <v>1597232.1894240051</v>
      </c>
    </row>
    <row r="56" spans="3:9" x14ac:dyDescent="0.25">
      <c r="C56" s="4"/>
      <c r="D56" s="4"/>
      <c r="E56" s="4"/>
      <c r="F56" s="4"/>
      <c r="G56" s="4"/>
      <c r="H56" s="4"/>
      <c r="I56" s="4"/>
    </row>
    <row r="57" spans="3:9" x14ac:dyDescent="0.25">
      <c r="C57" s="3" t="s">
        <v>1</v>
      </c>
      <c r="D57" s="4"/>
      <c r="E57" s="4"/>
      <c r="F57" s="57"/>
      <c r="G57" s="4"/>
      <c r="H57" s="57"/>
      <c r="I57" s="4"/>
    </row>
    <row r="58" spans="3:9" x14ac:dyDescent="0.25"/>
    <row r="59" spans="3:9" hidden="1" x14ac:dyDescent="0.25"/>
    <row r="60" spans="3:9" hidden="1" x14ac:dyDescent="0.25"/>
    <row r="61" spans="3:9" hidden="1" x14ac:dyDescent="0.25"/>
    <row r="62" spans="3:9" hidden="1" x14ac:dyDescent="0.25"/>
    <row r="63" spans="3:9" hidden="1" x14ac:dyDescent="0.25"/>
    <row r="64" spans="3:9" hidden="1" x14ac:dyDescent="0.25"/>
  </sheetData>
  <sheetProtection password="CD78" sheet="1" objects="1" scenarios="1"/>
  <mergeCells count="25">
    <mergeCell ref="B1:J1"/>
    <mergeCell ref="C3:I3"/>
    <mergeCell ref="C42:C43"/>
    <mergeCell ref="D42:D43"/>
    <mergeCell ref="E42:E43"/>
    <mergeCell ref="F42:G42"/>
    <mergeCell ref="H42:I42"/>
    <mergeCell ref="C28:C32"/>
    <mergeCell ref="C33:E33"/>
    <mergeCell ref="C37:I37"/>
    <mergeCell ref="C40:I40"/>
    <mergeCell ref="C7:C12"/>
    <mergeCell ref="C16:C20"/>
    <mergeCell ref="C25:C27"/>
    <mergeCell ref="C49:C50"/>
    <mergeCell ref="E5:E6"/>
    <mergeCell ref="C51:C54"/>
    <mergeCell ref="F5:G5"/>
    <mergeCell ref="C55:E55"/>
    <mergeCell ref="C44:C46"/>
    <mergeCell ref="H5:I5"/>
    <mergeCell ref="C13:C14"/>
    <mergeCell ref="C21:C22"/>
    <mergeCell ref="C5:C6"/>
    <mergeCell ref="D5:D6"/>
  </mergeCells>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K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63" customWidth="1"/>
    <col min="2" max="2" width="5.7109375" style="61" customWidth="1"/>
    <col min="3" max="3" width="42.7109375" style="61" customWidth="1"/>
    <col min="4" max="10" width="15.7109375" style="61" customWidth="1"/>
    <col min="11" max="11" width="5.7109375" style="61" customWidth="1"/>
    <col min="12" max="16384" width="11.42578125" style="61" hidden="1"/>
  </cols>
  <sheetData>
    <row r="1" spans="2:11" s="64" customFormat="1" ht="26.25" customHeight="1" x14ac:dyDescent="0.25">
      <c r="B1" s="132" t="s">
        <v>211</v>
      </c>
      <c r="C1" s="132"/>
      <c r="D1" s="132"/>
      <c r="E1" s="132"/>
      <c r="F1" s="132"/>
      <c r="G1" s="132"/>
      <c r="H1" s="132"/>
      <c r="I1" s="132"/>
      <c r="J1" s="132"/>
      <c r="K1" s="132"/>
    </row>
    <row r="2" spans="2:11" x14ac:dyDescent="0.25"/>
    <row r="3" spans="2:11" x14ac:dyDescent="0.25"/>
    <row r="4" spans="2:11" ht="25.5" x14ac:dyDescent="0.25">
      <c r="C4" s="66" t="s">
        <v>36</v>
      </c>
      <c r="D4" s="66" t="s">
        <v>185</v>
      </c>
      <c r="E4" s="66" t="s">
        <v>186</v>
      </c>
      <c r="F4" s="66" t="s">
        <v>187</v>
      </c>
      <c r="G4" s="66" t="s">
        <v>188</v>
      </c>
      <c r="H4" s="66" t="s">
        <v>189</v>
      </c>
      <c r="I4" s="66" t="s">
        <v>194</v>
      </c>
      <c r="J4" s="66" t="s">
        <v>232</v>
      </c>
    </row>
    <row r="5" spans="2:11" x14ac:dyDescent="0.25">
      <c r="C5" s="28" t="s">
        <v>253</v>
      </c>
      <c r="D5" s="96">
        <v>5153380524</v>
      </c>
      <c r="E5" s="96">
        <v>4879066542</v>
      </c>
      <c r="F5" s="96">
        <v>8571856312</v>
      </c>
      <c r="G5" s="96">
        <v>6182760690</v>
      </c>
      <c r="H5" s="96">
        <v>8450202310</v>
      </c>
      <c r="I5" s="96">
        <v>6364657839</v>
      </c>
      <c r="J5" s="96">
        <f>12439846500-414162286</f>
        <v>12025684214</v>
      </c>
    </row>
    <row r="6" spans="2:11" x14ac:dyDescent="0.25">
      <c r="C6" s="28" t="s">
        <v>184</v>
      </c>
      <c r="D6" s="96"/>
      <c r="E6" s="96">
        <v>2360395014</v>
      </c>
      <c r="F6" s="96">
        <v>4165942810</v>
      </c>
      <c r="G6" s="96">
        <v>5686006655</v>
      </c>
      <c r="H6" s="96">
        <v>7016187199</v>
      </c>
      <c r="I6" s="96">
        <f>6331785647-127135861</f>
        <v>6204649786</v>
      </c>
      <c r="J6" s="96">
        <f>9225893531-220420753</f>
        <v>9005472778</v>
      </c>
    </row>
    <row r="7" spans="2:11" x14ac:dyDescent="0.25">
      <c r="C7" s="28" t="s">
        <v>252</v>
      </c>
      <c r="D7" s="96">
        <v>4321332599</v>
      </c>
      <c r="E7" s="96">
        <v>3056600424</v>
      </c>
      <c r="F7" s="96">
        <v>2930486758</v>
      </c>
      <c r="G7" s="96">
        <v>4185723341</v>
      </c>
      <c r="H7" s="96">
        <v>4179782095</v>
      </c>
      <c r="I7" s="96">
        <f>4421466798-100981140</f>
        <v>4320485658</v>
      </c>
      <c r="J7" s="96">
        <f>4450940616-127926569</f>
        <v>4323014047</v>
      </c>
    </row>
    <row r="8" spans="2:11" x14ac:dyDescent="0.25">
      <c r="C8" s="66" t="s">
        <v>190</v>
      </c>
      <c r="D8" s="92">
        <f t="shared" ref="D8:J8" si="0">SUM(D5:D7)</f>
        <v>9474713123</v>
      </c>
      <c r="E8" s="92">
        <f t="shared" si="0"/>
        <v>10296061980</v>
      </c>
      <c r="F8" s="92">
        <f t="shared" si="0"/>
        <v>15668285880</v>
      </c>
      <c r="G8" s="92">
        <f t="shared" si="0"/>
        <v>16054490686</v>
      </c>
      <c r="H8" s="92">
        <f t="shared" si="0"/>
        <v>19646171604</v>
      </c>
      <c r="I8" s="92">
        <f t="shared" si="0"/>
        <v>16889793283</v>
      </c>
      <c r="J8" s="92">
        <f t="shared" si="0"/>
        <v>25354171039</v>
      </c>
    </row>
    <row r="9" spans="2:11" x14ac:dyDescent="0.25">
      <c r="C9" s="66" t="s">
        <v>191</v>
      </c>
      <c r="D9" s="92">
        <v>77180285051</v>
      </c>
      <c r="E9" s="92">
        <v>85787716757</v>
      </c>
      <c r="F9" s="92">
        <v>92868460867</v>
      </c>
      <c r="G9" s="92">
        <v>102296607687</v>
      </c>
      <c r="H9" s="92">
        <v>115086499776</v>
      </c>
      <c r="I9" s="92">
        <v>122385882106.34</v>
      </c>
      <c r="J9" s="92">
        <v>133750773480.31</v>
      </c>
    </row>
    <row r="10" spans="2:11" x14ac:dyDescent="0.25">
      <c r="C10" s="28"/>
      <c r="D10" s="29"/>
      <c r="E10" s="29"/>
      <c r="F10" s="29"/>
      <c r="G10" s="29"/>
      <c r="H10" s="29"/>
      <c r="I10" s="29"/>
      <c r="J10" s="29"/>
    </row>
    <row r="11" spans="2:11" ht="25.5" x14ac:dyDescent="0.25">
      <c r="C11" s="66" t="s">
        <v>181</v>
      </c>
      <c r="D11" s="81">
        <f t="shared" ref="D11:J11" si="1">D8/D9</f>
        <v>0.12276079463478529</v>
      </c>
      <c r="E11" s="81">
        <f t="shared" si="1"/>
        <v>0.12001790430166537</v>
      </c>
      <c r="F11" s="81">
        <f t="shared" si="1"/>
        <v>0.16871482238129337</v>
      </c>
      <c r="G11" s="81">
        <f t="shared" si="1"/>
        <v>0.15694059704425789</v>
      </c>
      <c r="H11" s="81">
        <f t="shared" si="1"/>
        <v>0.17070787314097277</v>
      </c>
      <c r="I11" s="81">
        <f t="shared" si="1"/>
        <v>0.13800442495748497</v>
      </c>
      <c r="J11" s="81">
        <f t="shared" si="1"/>
        <v>0.18956279937126863</v>
      </c>
    </row>
    <row r="12" spans="2:11" x14ac:dyDescent="0.25">
      <c r="D12" s="30"/>
      <c r="E12" s="30"/>
      <c r="F12" s="30"/>
      <c r="G12" s="30"/>
      <c r="H12" s="30"/>
      <c r="I12" s="30"/>
      <c r="J12" s="30"/>
    </row>
    <row r="13" spans="2:11" x14ac:dyDescent="0.25">
      <c r="C13" s="31" t="s">
        <v>223</v>
      </c>
      <c r="D13" s="30"/>
      <c r="E13" s="30"/>
      <c r="F13" s="30"/>
      <c r="G13" s="30"/>
      <c r="H13" s="30"/>
      <c r="I13" s="30"/>
      <c r="J13" s="30"/>
    </row>
    <row r="14" spans="2:11" x14ac:dyDescent="0.25"/>
    <row r="15" spans="2:11" x14ac:dyDescent="0.25"/>
    <row r="16" spans="2: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1">
    <mergeCell ref="B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K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63" customWidth="1"/>
    <col min="2" max="2" width="5.7109375" style="61" customWidth="1"/>
    <col min="3" max="3" width="36.42578125" style="61" bestFit="1" customWidth="1"/>
    <col min="4" max="10" width="15.7109375" style="61" customWidth="1"/>
    <col min="11" max="11" width="5.7109375" style="61" customWidth="1"/>
    <col min="12" max="16384" width="11.42578125" style="61" hidden="1"/>
  </cols>
  <sheetData>
    <row r="1" spans="2:11" s="64" customFormat="1" ht="26.25" customHeight="1" x14ac:dyDescent="0.25">
      <c r="B1" s="132" t="s">
        <v>212</v>
      </c>
      <c r="C1" s="132"/>
      <c r="D1" s="132"/>
      <c r="E1" s="132"/>
      <c r="F1" s="132"/>
      <c r="G1" s="132"/>
      <c r="H1" s="132"/>
      <c r="I1" s="132"/>
      <c r="J1" s="132"/>
      <c r="K1" s="132"/>
    </row>
    <row r="2" spans="2:11" x14ac:dyDescent="0.25"/>
    <row r="3" spans="2:11" x14ac:dyDescent="0.25"/>
    <row r="4" spans="2:11" x14ac:dyDescent="0.25">
      <c r="C4" s="83" t="s">
        <v>36</v>
      </c>
      <c r="D4" s="66" t="s">
        <v>45</v>
      </c>
      <c r="E4" s="66" t="s">
        <v>46</v>
      </c>
      <c r="F4" s="66" t="s">
        <v>47</v>
      </c>
      <c r="G4" s="66" t="s">
        <v>48</v>
      </c>
      <c r="H4" s="66" t="s">
        <v>49</v>
      </c>
      <c r="I4" s="66" t="s">
        <v>195</v>
      </c>
      <c r="J4" s="66" t="s">
        <v>233</v>
      </c>
    </row>
    <row r="5" spans="2:11" x14ac:dyDescent="0.25">
      <c r="C5" s="32" t="s">
        <v>182</v>
      </c>
      <c r="D5" s="95">
        <v>54693325911</v>
      </c>
      <c r="E5" s="95">
        <v>57893914537</v>
      </c>
      <c r="F5" s="95">
        <v>61067525519</v>
      </c>
      <c r="G5" s="95">
        <v>65557811648</v>
      </c>
      <c r="H5" s="95">
        <v>70992460494</v>
      </c>
      <c r="I5" s="95">
        <v>73461265388</v>
      </c>
      <c r="J5" s="95">
        <v>83454846351.789993</v>
      </c>
    </row>
    <row r="6" spans="2:11" x14ac:dyDescent="0.25">
      <c r="C6" s="32" t="s">
        <v>183</v>
      </c>
      <c r="D6" s="95">
        <v>22489518373</v>
      </c>
      <c r="E6" s="95">
        <v>27893821781</v>
      </c>
      <c r="F6" s="95">
        <v>31800961361</v>
      </c>
      <c r="G6" s="95">
        <v>36739780232</v>
      </c>
      <c r="H6" s="95">
        <v>44094216091</v>
      </c>
      <c r="I6" s="95">
        <v>48924616718</v>
      </c>
      <c r="J6" s="95">
        <v>50295927128.519997</v>
      </c>
    </row>
    <row r="7" spans="2:11" x14ac:dyDescent="0.25">
      <c r="C7" s="66" t="s">
        <v>191</v>
      </c>
      <c r="D7" s="92">
        <v>77180285051</v>
      </c>
      <c r="E7" s="92">
        <v>85787716757</v>
      </c>
      <c r="F7" s="92">
        <v>92868460867</v>
      </c>
      <c r="G7" s="92">
        <v>102296607687</v>
      </c>
      <c r="H7" s="92">
        <v>115086499776</v>
      </c>
      <c r="I7" s="92">
        <f>SUM(I5:I6)</f>
        <v>122385882106</v>
      </c>
      <c r="J7" s="92">
        <f>SUM(J5:J6)</f>
        <v>133750773480.31</v>
      </c>
    </row>
    <row r="8" spans="2:11" ht="25.5" x14ac:dyDescent="0.25">
      <c r="C8" s="66" t="s">
        <v>192</v>
      </c>
      <c r="D8" s="81">
        <f t="shared" ref="D8:J8" si="0">D5/D7</f>
        <v>0.70864374075399139</v>
      </c>
      <c r="E8" s="81">
        <f t="shared" si="0"/>
        <v>0.67485086123679872</v>
      </c>
      <c r="F8" s="81">
        <f t="shared" si="0"/>
        <v>0.65757012605664722</v>
      </c>
      <c r="G8" s="81">
        <f t="shared" si="0"/>
        <v>0.64086007474059359</v>
      </c>
      <c r="H8" s="81">
        <f t="shared" si="0"/>
        <v>0.61686175730582682</v>
      </c>
      <c r="I8" s="81">
        <f t="shared" si="0"/>
        <v>0.60024297021754724</v>
      </c>
      <c r="J8" s="81">
        <f t="shared" si="0"/>
        <v>0.62395785968352346</v>
      </c>
    </row>
    <row r="9" spans="2:11" x14ac:dyDescent="0.25">
      <c r="C9" s="138"/>
      <c r="D9" s="139"/>
      <c r="E9" s="139"/>
      <c r="F9" s="139"/>
      <c r="G9" s="139"/>
      <c r="H9" s="139"/>
      <c r="I9" s="139"/>
      <c r="J9" s="140"/>
    </row>
    <row r="10" spans="2:11" ht="25.5" x14ac:dyDescent="0.25">
      <c r="C10" s="66" t="s">
        <v>193</v>
      </c>
      <c r="D10" s="81">
        <f>1-D8</f>
        <v>0.29135625924600861</v>
      </c>
      <c r="E10" s="81">
        <f t="shared" ref="E10:J10" si="1">1-E8</f>
        <v>0.32514913876320128</v>
      </c>
      <c r="F10" s="81">
        <f t="shared" si="1"/>
        <v>0.34242987394335278</v>
      </c>
      <c r="G10" s="81">
        <f t="shared" si="1"/>
        <v>0.35913992525940641</v>
      </c>
      <c r="H10" s="81">
        <f t="shared" si="1"/>
        <v>0.38313824269417318</v>
      </c>
      <c r="I10" s="81">
        <f t="shared" si="1"/>
        <v>0.39975702978245276</v>
      </c>
      <c r="J10" s="81">
        <f t="shared" si="1"/>
        <v>0.37604214031647654</v>
      </c>
    </row>
    <row r="11" spans="2:11" x14ac:dyDescent="0.25">
      <c r="D11" s="30"/>
      <c r="E11" s="30"/>
      <c r="F11" s="30"/>
      <c r="G11" s="30"/>
      <c r="H11" s="30"/>
    </row>
    <row r="12" spans="2:11" x14ac:dyDescent="0.25">
      <c r="C12" s="31" t="s">
        <v>223</v>
      </c>
      <c r="D12" s="82"/>
      <c r="E12" s="82"/>
      <c r="F12" s="82"/>
      <c r="G12" s="82"/>
      <c r="H12" s="82"/>
      <c r="I12" s="82"/>
    </row>
    <row r="13" spans="2:11" x14ac:dyDescent="0.25"/>
    <row r="14" spans="2:11" x14ac:dyDescent="0.25"/>
    <row r="15" spans="2:11" x14ac:dyDescent="0.25"/>
    <row r="16" spans="2: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2">
    <mergeCell ref="C9:J9"/>
    <mergeCell ref="B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K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5.7109375" style="1" customWidth="1"/>
    <col min="3" max="3" width="26.7109375" style="1" customWidth="1"/>
    <col min="4" max="10" width="16.7109375" style="1" customWidth="1"/>
    <col min="11" max="11" width="5.7109375" style="1" customWidth="1"/>
    <col min="12" max="16384" width="11.42578125" style="1" hidden="1"/>
  </cols>
  <sheetData>
    <row r="1" spans="2:11" s="64" customFormat="1" ht="26.25" customHeight="1" x14ac:dyDescent="0.25">
      <c r="B1" s="132" t="s">
        <v>234</v>
      </c>
      <c r="C1" s="132"/>
      <c r="D1" s="132"/>
      <c r="E1" s="132"/>
      <c r="F1" s="132"/>
      <c r="G1" s="132"/>
      <c r="H1" s="132"/>
      <c r="I1" s="132"/>
      <c r="J1" s="132"/>
      <c r="K1" s="132"/>
    </row>
    <row r="2" spans="2:11" x14ac:dyDescent="0.25"/>
    <row r="3" spans="2:11" x14ac:dyDescent="0.25"/>
    <row r="4" spans="2:11" x14ac:dyDescent="0.25">
      <c r="C4" s="127" t="s">
        <v>43</v>
      </c>
      <c r="D4" s="127"/>
      <c r="E4" s="127"/>
      <c r="F4" s="127"/>
      <c r="G4" s="127"/>
      <c r="H4" s="127"/>
      <c r="I4" s="127"/>
      <c r="J4" s="127"/>
    </row>
    <row r="5" spans="2:11" ht="25.5" x14ac:dyDescent="0.25">
      <c r="C5" s="66" t="s">
        <v>36</v>
      </c>
      <c r="D5" s="66" t="s">
        <v>235</v>
      </c>
      <c r="E5" s="66" t="s">
        <v>236</v>
      </c>
      <c r="F5" s="66" t="s">
        <v>237</v>
      </c>
      <c r="G5" s="66" t="s">
        <v>238</v>
      </c>
      <c r="H5" s="66" t="s">
        <v>239</v>
      </c>
      <c r="I5" s="66" t="s">
        <v>240</v>
      </c>
      <c r="J5" s="66" t="s">
        <v>241</v>
      </c>
    </row>
    <row r="6" spans="2:11" x14ac:dyDescent="0.25">
      <c r="C6" s="8" t="s">
        <v>37</v>
      </c>
      <c r="D6" s="85">
        <v>36258870772</v>
      </c>
      <c r="E6" s="85">
        <v>39842515000</v>
      </c>
      <c r="F6" s="85">
        <v>42868058999</v>
      </c>
      <c r="G6" s="85">
        <v>47866363000</v>
      </c>
      <c r="H6" s="85">
        <v>50469714230</v>
      </c>
      <c r="I6" s="85">
        <v>52905560012</v>
      </c>
      <c r="J6" s="85">
        <v>59330470158</v>
      </c>
    </row>
    <row r="7" spans="2:11" x14ac:dyDescent="0.25">
      <c r="C7" s="8" t="s">
        <v>38</v>
      </c>
      <c r="D7" s="85">
        <v>5874901000</v>
      </c>
      <c r="E7" s="85">
        <v>5976685000</v>
      </c>
      <c r="F7" s="85">
        <v>6569510000</v>
      </c>
      <c r="G7" s="85">
        <v>6690807000</v>
      </c>
      <c r="H7" s="85">
        <v>7625090000</v>
      </c>
      <c r="I7" s="85">
        <v>7759112000</v>
      </c>
      <c r="J7" s="85">
        <v>8180509845</v>
      </c>
    </row>
    <row r="8" spans="2:11" x14ac:dyDescent="0.25">
      <c r="C8" s="8" t="s">
        <v>39</v>
      </c>
      <c r="D8" s="85">
        <v>16124396690</v>
      </c>
      <c r="E8" s="85">
        <v>16431036227</v>
      </c>
      <c r="F8" s="85">
        <v>19082940440</v>
      </c>
      <c r="G8" s="85">
        <v>19496696804</v>
      </c>
      <c r="H8" s="85">
        <v>22676464203</v>
      </c>
      <c r="I8" s="85">
        <v>24764375897</v>
      </c>
      <c r="J8" s="85">
        <v>20156882138</v>
      </c>
    </row>
    <row r="9" spans="2:11" x14ac:dyDescent="0.25">
      <c r="C9" s="8" t="s">
        <v>40</v>
      </c>
      <c r="D9" s="85">
        <v>10743000000</v>
      </c>
      <c r="E9" s="85">
        <v>13774000000</v>
      </c>
      <c r="F9" s="85">
        <v>14118000000</v>
      </c>
      <c r="G9" s="85">
        <v>16178610000</v>
      </c>
      <c r="H9" s="85">
        <v>20547000000</v>
      </c>
      <c r="I9" s="85">
        <v>20575500494</v>
      </c>
      <c r="J9" s="85">
        <v>29081980000</v>
      </c>
    </row>
    <row r="10" spans="2:11" x14ac:dyDescent="0.25">
      <c r="C10" s="8" t="s">
        <v>196</v>
      </c>
      <c r="D10" s="85"/>
      <c r="E10" s="85"/>
      <c r="F10" s="85"/>
      <c r="G10" s="85"/>
      <c r="H10" s="85"/>
      <c r="I10" s="85">
        <v>40351000</v>
      </c>
      <c r="J10" s="85">
        <v>538240000</v>
      </c>
    </row>
    <row r="11" spans="2:11" x14ac:dyDescent="0.25">
      <c r="C11" s="66" t="s">
        <v>44</v>
      </c>
      <c r="D11" s="92">
        <f>SUM(D6:D10)</f>
        <v>69001168462</v>
      </c>
      <c r="E11" s="92">
        <f t="shared" ref="E11:H11" si="0">SUM(E6:E10)</f>
        <v>76024236227</v>
      </c>
      <c r="F11" s="92">
        <f t="shared" si="0"/>
        <v>82638509439</v>
      </c>
      <c r="G11" s="92">
        <f t="shared" si="0"/>
        <v>90232476804</v>
      </c>
      <c r="H11" s="92">
        <f t="shared" si="0"/>
        <v>101318268433</v>
      </c>
      <c r="I11" s="92">
        <f>SUM(I6:I10)</f>
        <v>106044899403</v>
      </c>
      <c r="J11" s="92">
        <f>SUM(J6:J10)</f>
        <v>117288082141</v>
      </c>
    </row>
    <row r="12" spans="2:11" x14ac:dyDescent="0.25">
      <c r="C12" s="8" t="s">
        <v>41</v>
      </c>
      <c r="D12" s="85">
        <v>8183421449</v>
      </c>
      <c r="E12" s="85">
        <v>9764230310</v>
      </c>
      <c r="F12" s="85">
        <v>10232155134</v>
      </c>
      <c r="G12" s="85">
        <v>12066505021</v>
      </c>
      <c r="H12" s="85">
        <v>13769251000</v>
      </c>
      <c r="I12" s="85">
        <v>16342632883</v>
      </c>
      <c r="J12" s="85">
        <v>16463445937</v>
      </c>
    </row>
    <row r="13" spans="2:11" x14ac:dyDescent="0.25">
      <c r="C13" s="66" t="s">
        <v>42</v>
      </c>
      <c r="D13" s="92">
        <f>SUM(D12,D11)</f>
        <v>77184589911</v>
      </c>
      <c r="E13" s="92">
        <f t="shared" ref="E13:H13" si="1">SUM(E12,E11)</f>
        <v>85788466537</v>
      </c>
      <c r="F13" s="92">
        <f t="shared" si="1"/>
        <v>92870664573</v>
      </c>
      <c r="G13" s="92">
        <f t="shared" si="1"/>
        <v>102298981825</v>
      </c>
      <c r="H13" s="92">
        <f t="shared" si="1"/>
        <v>115087519433</v>
      </c>
      <c r="I13" s="92">
        <f>SUM(I12,I11)</f>
        <v>122387532286</v>
      </c>
      <c r="J13" s="92">
        <f>SUM(J12,J11)</f>
        <v>133751528078</v>
      </c>
    </row>
    <row r="14" spans="2:11" x14ac:dyDescent="0.25">
      <c r="D14" s="26"/>
      <c r="E14" s="26"/>
      <c r="F14" s="26"/>
      <c r="G14" s="26"/>
      <c r="H14" s="26"/>
      <c r="I14" s="26"/>
    </row>
    <row r="15" spans="2:11" x14ac:dyDescent="0.25">
      <c r="C15" s="3" t="s">
        <v>221</v>
      </c>
    </row>
    <row r="16" spans="2: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2">
    <mergeCell ref="B1:K1"/>
    <mergeCell ref="C4:J4"/>
  </mergeCells>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I3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62" customWidth="1"/>
    <col min="2" max="2" width="15.7109375" style="59" customWidth="1"/>
    <col min="3" max="3" width="16.7109375" style="59" customWidth="1"/>
    <col min="4" max="4" width="18.7109375" style="59" customWidth="1"/>
    <col min="5" max="5" width="12.7109375" style="59" customWidth="1"/>
    <col min="6" max="6" width="18.7109375" style="59" customWidth="1"/>
    <col min="7" max="7" width="12.7109375" style="59" customWidth="1"/>
    <col min="8" max="8" width="18.7109375" style="59" customWidth="1"/>
    <col min="9" max="9" width="15.7109375" style="59" customWidth="1"/>
    <col min="10" max="16384" width="11.42578125" style="59" hidden="1"/>
  </cols>
  <sheetData>
    <row r="1" spans="1:9" s="64" customFormat="1" ht="26.25" customHeight="1" x14ac:dyDescent="0.25">
      <c r="B1" s="141" t="s">
        <v>247</v>
      </c>
      <c r="C1" s="141"/>
      <c r="D1" s="141"/>
      <c r="E1" s="141"/>
      <c r="F1" s="141"/>
      <c r="G1" s="141"/>
      <c r="H1" s="141"/>
      <c r="I1" s="141"/>
    </row>
    <row r="2" spans="1:9" x14ac:dyDescent="0.25"/>
    <row r="3" spans="1:9" s="37" customFormat="1" ht="15.75" x14ac:dyDescent="0.25">
      <c r="A3" s="84"/>
      <c r="C3" s="142" t="s">
        <v>248</v>
      </c>
      <c r="D3" s="142"/>
      <c r="E3" s="142"/>
      <c r="F3" s="142"/>
      <c r="G3" s="142"/>
      <c r="H3" s="142"/>
    </row>
    <row r="4" spans="1:9" s="37" customFormat="1" ht="15.75" x14ac:dyDescent="0.25">
      <c r="A4" s="84"/>
      <c r="C4" s="142"/>
      <c r="D4" s="142"/>
      <c r="E4" s="142"/>
      <c r="F4" s="142"/>
      <c r="G4" s="142"/>
      <c r="H4" s="142"/>
    </row>
    <row r="5" spans="1:9" x14ac:dyDescent="0.25">
      <c r="C5" s="60"/>
    </row>
    <row r="6" spans="1:9" x14ac:dyDescent="0.25">
      <c r="C6" s="145" t="s">
        <v>50</v>
      </c>
      <c r="D6" s="145"/>
      <c r="E6" s="145"/>
      <c r="F6" s="145"/>
      <c r="G6" s="145"/>
      <c r="H6" s="145"/>
    </row>
    <row r="7" spans="1:9" x14ac:dyDescent="0.25">
      <c r="C7" s="143" t="s">
        <v>242</v>
      </c>
      <c r="D7" s="143" t="s">
        <v>245</v>
      </c>
      <c r="E7" s="144"/>
      <c r="F7" s="147" t="s">
        <v>246</v>
      </c>
      <c r="G7" s="148"/>
      <c r="H7" s="146" t="s">
        <v>28</v>
      </c>
    </row>
    <row r="8" spans="1:9" x14ac:dyDescent="0.25">
      <c r="C8" s="143"/>
      <c r="D8" s="66" t="s">
        <v>243</v>
      </c>
      <c r="E8" s="73" t="s">
        <v>244</v>
      </c>
      <c r="F8" s="74" t="s">
        <v>243</v>
      </c>
      <c r="G8" s="88" t="s">
        <v>244</v>
      </c>
      <c r="H8" s="146"/>
    </row>
    <row r="9" spans="1:9" x14ac:dyDescent="0.25">
      <c r="C9" s="10">
        <v>2006</v>
      </c>
      <c r="D9" s="85">
        <v>69001168462</v>
      </c>
      <c r="E9" s="86">
        <f t="shared" ref="E9:E15" si="0">D9/H9</f>
        <v>0.89397596776200872</v>
      </c>
      <c r="F9" s="89">
        <v>8183421449</v>
      </c>
      <c r="G9" s="90">
        <f t="shared" ref="G9:G15" si="1">F9/H9</f>
        <v>0.10602403223799127</v>
      </c>
      <c r="H9" s="87">
        <f>SUM(D9,F9)</f>
        <v>77184589911</v>
      </c>
    </row>
    <row r="10" spans="1:9" x14ac:dyDescent="0.25">
      <c r="C10" s="10">
        <v>2007</v>
      </c>
      <c r="D10" s="85">
        <v>76024236227</v>
      </c>
      <c r="E10" s="86">
        <f t="shared" si="0"/>
        <v>0.88618248228287477</v>
      </c>
      <c r="F10" s="89">
        <v>9764230310</v>
      </c>
      <c r="G10" s="90">
        <f t="shared" si="1"/>
        <v>0.1138175177171252</v>
      </c>
      <c r="H10" s="87">
        <f t="shared" ref="H9:H15" si="2">SUM(D10,F10)</f>
        <v>85788466537</v>
      </c>
    </row>
    <row r="11" spans="1:9" x14ac:dyDescent="0.25">
      <c r="C11" s="10">
        <v>2008</v>
      </c>
      <c r="D11" s="85">
        <v>82638509439</v>
      </c>
      <c r="E11" s="86">
        <f t="shared" si="0"/>
        <v>0.88982360381455949</v>
      </c>
      <c r="F11" s="89">
        <v>10232155134</v>
      </c>
      <c r="G11" s="90">
        <f t="shared" si="1"/>
        <v>0.11017639618544048</v>
      </c>
      <c r="H11" s="87">
        <f t="shared" si="2"/>
        <v>92870664573</v>
      </c>
    </row>
    <row r="12" spans="1:9" x14ac:dyDescent="0.25">
      <c r="C12" s="10">
        <v>2009</v>
      </c>
      <c r="D12" s="85">
        <v>90232476804</v>
      </c>
      <c r="E12" s="86">
        <f t="shared" si="0"/>
        <v>0.8820466752871321</v>
      </c>
      <c r="F12" s="89">
        <v>12066505021</v>
      </c>
      <c r="G12" s="90">
        <f t="shared" si="1"/>
        <v>0.11795332471286793</v>
      </c>
      <c r="H12" s="87">
        <f t="shared" si="2"/>
        <v>102298981825</v>
      </c>
    </row>
    <row r="13" spans="1:9" x14ac:dyDescent="0.25">
      <c r="C13" s="10">
        <v>2010</v>
      </c>
      <c r="D13" s="85">
        <v>101318268433</v>
      </c>
      <c r="E13" s="86">
        <f t="shared" si="0"/>
        <v>0.8803584344519999</v>
      </c>
      <c r="F13" s="89">
        <v>13769251000</v>
      </c>
      <c r="G13" s="90">
        <f t="shared" si="1"/>
        <v>0.11964156554800005</v>
      </c>
      <c r="H13" s="87">
        <f t="shared" si="2"/>
        <v>115087519433</v>
      </c>
    </row>
    <row r="14" spans="1:9" x14ac:dyDescent="0.25">
      <c r="C14" s="10">
        <v>2011</v>
      </c>
      <c r="D14" s="85">
        <v>106044899403</v>
      </c>
      <c r="E14" s="86">
        <f t="shared" si="0"/>
        <v>0.86646815588364101</v>
      </c>
      <c r="F14" s="89">
        <v>16342632883</v>
      </c>
      <c r="G14" s="90">
        <f t="shared" si="1"/>
        <v>0.13353184411635896</v>
      </c>
      <c r="H14" s="87">
        <f t="shared" si="2"/>
        <v>122387532286</v>
      </c>
    </row>
    <row r="15" spans="1:9" x14ac:dyDescent="0.25">
      <c r="C15" s="10">
        <v>2012</v>
      </c>
      <c r="D15" s="85">
        <v>117288082141</v>
      </c>
      <c r="E15" s="86">
        <f t="shared" si="0"/>
        <v>0.87691022171052135</v>
      </c>
      <c r="F15" s="89">
        <v>16463445937</v>
      </c>
      <c r="G15" s="90">
        <f t="shared" si="1"/>
        <v>0.12308977828947866</v>
      </c>
      <c r="H15" s="87">
        <f>SUM(D15,F15)</f>
        <v>133751528078</v>
      </c>
    </row>
    <row r="16" spans="1:9" x14ac:dyDescent="0.25"/>
    <row r="17" spans="3:6" x14ac:dyDescent="0.25">
      <c r="C17" s="3" t="s">
        <v>221</v>
      </c>
    </row>
    <row r="18" spans="3:6" x14ac:dyDescent="0.25"/>
    <row r="19" spans="3:6" x14ac:dyDescent="0.25"/>
    <row r="20" spans="3:6" x14ac:dyDescent="0.25">
      <c r="C20" s="190"/>
      <c r="F20" s="190"/>
    </row>
    <row r="21" spans="3:6" x14ac:dyDescent="0.25">
      <c r="C21" s="190"/>
      <c r="F21" s="190"/>
    </row>
    <row r="22" spans="3:6" x14ac:dyDescent="0.25">
      <c r="C22" s="190"/>
      <c r="F22" s="190"/>
    </row>
    <row r="23" spans="3:6" x14ac:dyDescent="0.25">
      <c r="C23" s="190"/>
      <c r="F23" s="190"/>
    </row>
    <row r="24" spans="3:6" x14ac:dyDescent="0.25">
      <c r="C24" s="190"/>
      <c r="F24" s="190"/>
    </row>
    <row r="25" spans="3:6" x14ac:dyDescent="0.25">
      <c r="C25" s="190"/>
      <c r="F25" s="190"/>
    </row>
    <row r="26" spans="3:6" x14ac:dyDescent="0.25">
      <c r="C26" s="190"/>
      <c r="F26" s="190"/>
    </row>
    <row r="27" spans="3:6" x14ac:dyDescent="0.25"/>
    <row r="28" spans="3:6" x14ac:dyDescent="0.25"/>
    <row r="29" spans="3:6" x14ac:dyDescent="0.25"/>
    <row r="30" spans="3:6" x14ac:dyDescent="0.25"/>
    <row r="31" spans="3:6" x14ac:dyDescent="0.25"/>
    <row r="32" spans="3:6" x14ac:dyDescent="0.25"/>
    <row r="33" x14ac:dyDescent="0.25"/>
    <row r="34" x14ac:dyDescent="0.25"/>
    <row r="35" x14ac:dyDescent="0.25"/>
    <row r="36" hidden="1" x14ac:dyDescent="0.25"/>
  </sheetData>
  <sheetProtection password="CD78" sheet="1" objects="1" scenarios="1"/>
  <mergeCells count="7">
    <mergeCell ref="B1:I1"/>
    <mergeCell ref="C3:H4"/>
    <mergeCell ref="D7:E7"/>
    <mergeCell ref="C6:H6"/>
    <mergeCell ref="H7:H8"/>
    <mergeCell ref="F7:G7"/>
    <mergeCell ref="C7:C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H6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15.7109375" style="1" customWidth="1"/>
    <col min="3" max="3" width="40.7109375" style="1" customWidth="1"/>
    <col min="4" max="7" width="16.7109375" style="1" customWidth="1"/>
    <col min="8" max="8" width="15.7109375" style="1" customWidth="1"/>
    <col min="9" max="16384" width="11.42578125" style="1" hidden="1"/>
  </cols>
  <sheetData>
    <row r="1" spans="1:8" s="64" customFormat="1" ht="26.25" customHeight="1" x14ac:dyDescent="0.25">
      <c r="B1" s="141" t="s">
        <v>213</v>
      </c>
      <c r="C1" s="141"/>
      <c r="D1" s="141"/>
      <c r="E1" s="141"/>
      <c r="F1" s="141"/>
      <c r="G1" s="141"/>
      <c r="H1" s="141"/>
    </row>
    <row r="2" spans="1:8" x14ac:dyDescent="0.25"/>
    <row r="3" spans="1:8" s="36" customFormat="1" ht="15.75" x14ac:dyDescent="0.25">
      <c r="A3" s="68"/>
      <c r="C3" s="137" t="s">
        <v>251</v>
      </c>
      <c r="D3" s="137"/>
      <c r="E3" s="137"/>
      <c r="F3" s="137"/>
      <c r="G3" s="137"/>
    </row>
    <row r="4" spans="1:8" x14ac:dyDescent="0.25"/>
    <row r="5" spans="1:8" ht="25.5" x14ac:dyDescent="0.25">
      <c r="C5" s="66" t="s">
        <v>85</v>
      </c>
      <c r="D5" s="66" t="s">
        <v>86</v>
      </c>
      <c r="E5" s="66" t="s">
        <v>87</v>
      </c>
      <c r="F5" s="66" t="s">
        <v>198</v>
      </c>
      <c r="G5" s="66" t="s">
        <v>249</v>
      </c>
    </row>
    <row r="6" spans="1:8" x14ac:dyDescent="0.25">
      <c r="C6" s="149" t="s">
        <v>88</v>
      </c>
      <c r="D6" s="149"/>
      <c r="E6" s="149"/>
      <c r="F6" s="149"/>
      <c r="G6" s="149"/>
    </row>
    <row r="7" spans="1:8" x14ac:dyDescent="0.25">
      <c r="C7" s="91" t="s">
        <v>56</v>
      </c>
      <c r="D7" s="92">
        <v>9414</v>
      </c>
      <c r="E7" s="92">
        <v>10982</v>
      </c>
      <c r="F7" s="92">
        <f>SUM(F8:F10)</f>
        <v>12201.195994199999</v>
      </c>
      <c r="G7" s="92">
        <f>SUM(G8:G10)</f>
        <v>12750.349550800001</v>
      </c>
    </row>
    <row r="8" spans="1:8" x14ac:dyDescent="0.25">
      <c r="C8" s="8" t="s">
        <v>57</v>
      </c>
      <c r="D8" s="85">
        <v>4281</v>
      </c>
      <c r="E8" s="85">
        <v>6158</v>
      </c>
      <c r="F8" s="85">
        <f>5439287503.2/1000000</f>
        <v>5439.2875032000002</v>
      </c>
      <c r="G8" s="85">
        <v>5746.7627038000001</v>
      </c>
    </row>
    <row r="9" spans="1:8" x14ac:dyDescent="0.25">
      <c r="C9" s="8" t="s">
        <v>58</v>
      </c>
      <c r="D9" s="85">
        <v>166</v>
      </c>
      <c r="E9" s="85">
        <v>222</v>
      </c>
      <c r="F9" s="85">
        <f>370872263/1000000</f>
        <v>370.87226299999998</v>
      </c>
      <c r="G9" s="85">
        <v>326.10543699999999</v>
      </c>
    </row>
    <row r="10" spans="1:8" x14ac:dyDescent="0.25">
      <c r="C10" s="8" t="s">
        <v>59</v>
      </c>
      <c r="D10" s="85">
        <v>4967</v>
      </c>
      <c r="E10" s="85">
        <v>4602</v>
      </c>
      <c r="F10" s="85">
        <f>6391036228/1000000</f>
        <v>6391.0362279999999</v>
      </c>
      <c r="G10" s="85">
        <v>6677.4814100000003</v>
      </c>
    </row>
    <row r="11" spans="1:8" x14ac:dyDescent="0.25">
      <c r="C11" s="91" t="s">
        <v>60</v>
      </c>
      <c r="D11" s="92">
        <v>759</v>
      </c>
      <c r="E11" s="92">
        <v>739</v>
      </c>
      <c r="F11" s="92">
        <f>SUM(F12:F16)</f>
        <v>611.06516955999996</v>
      </c>
      <c r="G11" s="92">
        <f>SUM(G12:G16)</f>
        <v>709.92033337999999</v>
      </c>
    </row>
    <row r="12" spans="1:8" x14ac:dyDescent="0.25">
      <c r="C12" s="8" t="s">
        <v>61</v>
      </c>
      <c r="D12" s="85">
        <v>89</v>
      </c>
      <c r="E12" s="85">
        <v>163</v>
      </c>
      <c r="F12" s="85">
        <f>83412533/1000000</f>
        <v>83.412532999999996</v>
      </c>
      <c r="G12" s="85">
        <f>81267210/1000000</f>
        <v>81.267210000000006</v>
      </c>
    </row>
    <row r="13" spans="1:8" x14ac:dyDescent="0.25">
      <c r="C13" s="8" t="s">
        <v>62</v>
      </c>
      <c r="D13" s="85">
        <v>300</v>
      </c>
      <c r="E13" s="85">
        <v>242</v>
      </c>
      <c r="F13" s="85">
        <f>202914132/1000000</f>
        <v>202.914132</v>
      </c>
      <c r="G13" s="85">
        <f>183396263/1000000</f>
        <v>183.396263</v>
      </c>
    </row>
    <row r="14" spans="1:8" x14ac:dyDescent="0.25">
      <c r="C14" s="8" t="s">
        <v>63</v>
      </c>
      <c r="D14" s="85">
        <v>306</v>
      </c>
      <c r="E14" s="85">
        <v>240</v>
      </c>
      <c r="F14" s="85">
        <f>224607416.56/1000000</f>
        <v>224.60741655999999</v>
      </c>
      <c r="G14" s="85">
        <f>341183766.38/1000000</f>
        <v>341.18376638000001</v>
      </c>
    </row>
    <row r="15" spans="1:8" x14ac:dyDescent="0.25">
      <c r="C15" s="8" t="s">
        <v>64</v>
      </c>
      <c r="D15" s="85">
        <v>45</v>
      </c>
      <c r="E15" s="85">
        <v>94</v>
      </c>
      <c r="F15" s="85">
        <f>73981088/1000000</f>
        <v>73.981088</v>
      </c>
      <c r="G15" s="85">
        <f>82073094/1000000</f>
        <v>82.073093999999998</v>
      </c>
    </row>
    <row r="16" spans="1:8" x14ac:dyDescent="0.25">
      <c r="C16" s="8" t="s">
        <v>65</v>
      </c>
      <c r="D16" s="85">
        <v>19</v>
      </c>
      <c r="E16" s="85"/>
      <c r="F16" s="85">
        <f>26150000/1000000</f>
        <v>26.15</v>
      </c>
      <c r="G16" s="85">
        <f>22000000/1000000</f>
        <v>22</v>
      </c>
    </row>
    <row r="17" spans="3:7" x14ac:dyDescent="0.25">
      <c r="C17" s="91" t="s">
        <v>199</v>
      </c>
      <c r="D17" s="92"/>
      <c r="E17" s="92"/>
      <c r="F17" s="92">
        <f>SUM(F18:F22)</f>
        <v>1348.5243740000001</v>
      </c>
      <c r="G17" s="92">
        <f>SUM(G18:G22)</f>
        <v>1284.3741050000001</v>
      </c>
    </row>
    <row r="18" spans="3:7" x14ac:dyDescent="0.25">
      <c r="C18" s="8" t="s">
        <v>200</v>
      </c>
      <c r="D18" s="85"/>
      <c r="E18" s="85"/>
      <c r="F18" s="93">
        <f>377797962/1000000</f>
        <v>377.79796199999998</v>
      </c>
      <c r="G18" s="93">
        <f>407263083/1000000</f>
        <v>407.26308299999999</v>
      </c>
    </row>
    <row r="19" spans="3:7" x14ac:dyDescent="0.25">
      <c r="C19" s="8" t="s">
        <v>201</v>
      </c>
      <c r="D19" s="85"/>
      <c r="E19" s="85"/>
      <c r="F19" s="93">
        <f>172805237/1000000</f>
        <v>172.80523700000001</v>
      </c>
      <c r="G19" s="93">
        <f>144233141/1000000</f>
        <v>144.23314099999999</v>
      </c>
    </row>
    <row r="20" spans="3:7" x14ac:dyDescent="0.25">
      <c r="C20" s="8" t="s">
        <v>202</v>
      </c>
      <c r="D20" s="85"/>
      <c r="E20" s="85"/>
      <c r="F20" s="93">
        <f>(9382803+600725245)/1000000</f>
        <v>610.10804800000005</v>
      </c>
      <c r="G20" s="93">
        <f>508558072/1000000</f>
        <v>508.55807199999998</v>
      </c>
    </row>
    <row r="21" spans="3:7" x14ac:dyDescent="0.25">
      <c r="C21" s="8" t="s">
        <v>203</v>
      </c>
      <c r="D21" s="85"/>
      <c r="E21" s="85"/>
      <c r="F21" s="93">
        <f>87413605/1000000</f>
        <v>87.413605000000004</v>
      </c>
      <c r="G21" s="93">
        <f>63552588/1000000</f>
        <v>63.552588</v>
      </c>
    </row>
    <row r="22" spans="3:7" x14ac:dyDescent="0.25">
      <c r="C22" s="8" t="s">
        <v>204</v>
      </c>
      <c r="D22" s="85"/>
      <c r="E22" s="85"/>
      <c r="F22" s="93">
        <f>100399522/1000000</f>
        <v>100.399522</v>
      </c>
      <c r="G22" s="93">
        <f>160767221/1000000</f>
        <v>160.76722100000001</v>
      </c>
    </row>
    <row r="23" spans="3:7" x14ac:dyDescent="0.25">
      <c r="C23" s="91" t="s">
        <v>66</v>
      </c>
      <c r="D23" s="92">
        <v>1370</v>
      </c>
      <c r="E23" s="92">
        <v>1398</v>
      </c>
      <c r="F23" s="92">
        <f>SUM(F24:F26)</f>
        <v>1509.7180565000001</v>
      </c>
      <c r="G23" s="92">
        <f>SUM(G24:G26)</f>
        <v>1160.7991999199999</v>
      </c>
    </row>
    <row r="24" spans="3:7" x14ac:dyDescent="0.25">
      <c r="C24" s="8" t="s">
        <v>67</v>
      </c>
      <c r="D24" s="85">
        <v>1045</v>
      </c>
      <c r="E24" s="85">
        <v>1069</v>
      </c>
      <c r="F24" s="85">
        <f>1077967844.5/1000000</f>
        <v>1077.9678445</v>
      </c>
      <c r="G24" s="85">
        <f>814451245.92/1000000</f>
        <v>814.45124591999991</v>
      </c>
    </row>
    <row r="25" spans="3:7" x14ac:dyDescent="0.25">
      <c r="C25" s="8" t="s">
        <v>69</v>
      </c>
      <c r="D25" s="85">
        <v>232</v>
      </c>
      <c r="E25" s="85">
        <v>264</v>
      </c>
      <c r="F25" s="85">
        <f>336260212/1000000</f>
        <v>336.26021200000002</v>
      </c>
      <c r="G25" s="85">
        <f>271347954/1000000</f>
        <v>271.34795400000002</v>
      </c>
    </row>
    <row r="26" spans="3:7" x14ac:dyDescent="0.25">
      <c r="C26" s="8" t="s">
        <v>68</v>
      </c>
      <c r="D26" s="85">
        <v>93</v>
      </c>
      <c r="E26" s="85">
        <v>65</v>
      </c>
      <c r="F26" s="85">
        <f>95490000/1000000</f>
        <v>95.49</v>
      </c>
      <c r="G26" s="85">
        <f>75000000/1000000</f>
        <v>75</v>
      </c>
    </row>
    <row r="27" spans="3:7" x14ac:dyDescent="0.25">
      <c r="C27" s="91" t="s">
        <v>70</v>
      </c>
      <c r="D27" s="92">
        <v>36</v>
      </c>
      <c r="E27" s="92">
        <v>157</v>
      </c>
      <c r="F27" s="92">
        <f>SUM(F28:F30)</f>
        <v>170.34153079000001</v>
      </c>
      <c r="G27" s="92">
        <f>SUM(G28:G30)</f>
        <v>126.488259</v>
      </c>
    </row>
    <row r="28" spans="3:7" x14ac:dyDescent="0.25">
      <c r="C28" s="8" t="s">
        <v>73</v>
      </c>
      <c r="D28" s="94"/>
      <c r="E28" s="85">
        <v>86</v>
      </c>
      <c r="F28" s="85">
        <f>84315272.79/1000000</f>
        <v>84.315272790000009</v>
      </c>
      <c r="G28" s="85">
        <f>70958259/1000000</f>
        <v>70.958258999999998</v>
      </c>
    </row>
    <row r="29" spans="3:7" x14ac:dyDescent="0.25">
      <c r="C29" s="8" t="s">
        <v>71</v>
      </c>
      <c r="D29" s="85">
        <v>27</v>
      </c>
      <c r="E29" s="85">
        <v>28</v>
      </c>
      <c r="F29" s="85">
        <f>36019092/1000000</f>
        <v>36.019092000000001</v>
      </c>
      <c r="G29" s="85">
        <f>27300000/1000000</f>
        <v>27.3</v>
      </c>
    </row>
    <row r="30" spans="3:7" x14ac:dyDescent="0.25">
      <c r="C30" s="8" t="s">
        <v>72</v>
      </c>
      <c r="D30" s="85">
        <v>9</v>
      </c>
      <c r="E30" s="85">
        <v>43</v>
      </c>
      <c r="F30" s="85">
        <f>50007166/1000000</f>
        <v>50.007165999999998</v>
      </c>
      <c r="G30" s="85">
        <f>28230000/1000000</f>
        <v>28.23</v>
      </c>
    </row>
    <row r="31" spans="3:7" x14ac:dyDescent="0.25">
      <c r="C31" s="91" t="s">
        <v>74</v>
      </c>
      <c r="D31" s="92">
        <v>108</v>
      </c>
      <c r="E31" s="92">
        <v>92</v>
      </c>
      <c r="F31" s="92">
        <f>SUM(F32:F38)</f>
        <v>143.587704</v>
      </c>
      <c r="G31" s="92">
        <f>SUM(G32:G38)</f>
        <v>101.14706199999999</v>
      </c>
    </row>
    <row r="32" spans="3:7" x14ac:dyDescent="0.25">
      <c r="C32" s="8" t="s">
        <v>75</v>
      </c>
      <c r="D32" s="85">
        <v>16</v>
      </c>
      <c r="E32" s="85">
        <v>15</v>
      </c>
      <c r="F32" s="85">
        <f>12493931/1000000</f>
        <v>12.493931</v>
      </c>
      <c r="G32" s="85"/>
    </row>
    <row r="33" spans="3:7" x14ac:dyDescent="0.25">
      <c r="C33" s="8" t="s">
        <v>76</v>
      </c>
      <c r="D33" s="85">
        <v>21</v>
      </c>
      <c r="E33" s="85">
        <v>13</v>
      </c>
      <c r="F33" s="85"/>
      <c r="G33" s="85"/>
    </row>
    <row r="34" spans="3:7" x14ac:dyDescent="0.25">
      <c r="C34" s="8" t="s">
        <v>77</v>
      </c>
      <c r="D34" s="85">
        <v>71</v>
      </c>
      <c r="E34" s="85">
        <v>49</v>
      </c>
      <c r="F34" s="85">
        <f>41614197/1000000</f>
        <v>41.614196999999997</v>
      </c>
      <c r="G34" s="85">
        <f>25787477/1000000</f>
        <v>25.787476999999999</v>
      </c>
    </row>
    <row r="35" spans="3:7" x14ac:dyDescent="0.25">
      <c r="C35" s="8" t="s">
        <v>78</v>
      </c>
      <c r="D35" s="94"/>
      <c r="E35" s="85">
        <v>15</v>
      </c>
      <c r="F35" s="85"/>
      <c r="G35" s="85">
        <f>10913862/1000000</f>
        <v>10.913862</v>
      </c>
    </row>
    <row r="36" spans="3:7" x14ac:dyDescent="0.25">
      <c r="C36" s="8" t="s">
        <v>205</v>
      </c>
      <c r="D36" s="85"/>
      <c r="E36" s="85"/>
      <c r="F36" s="85">
        <f>10930570/1000000</f>
        <v>10.930569999999999</v>
      </c>
      <c r="G36" s="85">
        <f>11944072/1000000</f>
        <v>11.944072</v>
      </c>
    </row>
    <row r="37" spans="3:7" x14ac:dyDescent="0.25">
      <c r="C37" s="8" t="s">
        <v>206</v>
      </c>
      <c r="D37" s="85"/>
      <c r="E37" s="85"/>
      <c r="F37" s="85">
        <f>16871330/1000000</f>
        <v>16.87133</v>
      </c>
      <c r="G37" s="85">
        <f>12949819/1000000</f>
        <v>12.949819</v>
      </c>
    </row>
    <row r="38" spans="3:7" x14ac:dyDescent="0.25">
      <c r="C38" s="8" t="s">
        <v>207</v>
      </c>
      <c r="D38" s="85"/>
      <c r="E38" s="85"/>
      <c r="F38" s="85">
        <f>61677676/1000000</f>
        <v>61.677675999999998</v>
      </c>
      <c r="G38" s="85">
        <f>39551832/1000000</f>
        <v>39.551831999999997</v>
      </c>
    </row>
    <row r="39" spans="3:7" x14ac:dyDescent="0.25">
      <c r="C39" s="91" t="s">
        <v>79</v>
      </c>
      <c r="D39" s="92">
        <v>377</v>
      </c>
      <c r="E39" s="92">
        <v>400</v>
      </c>
      <c r="F39" s="92">
        <f>SUM(F40:F42)</f>
        <v>357.42526700000002</v>
      </c>
      <c r="G39" s="92">
        <f>SUM(G40:G42)</f>
        <v>330.34940800000004</v>
      </c>
    </row>
    <row r="40" spans="3:7" x14ac:dyDescent="0.25">
      <c r="C40" s="8" t="s">
        <v>81</v>
      </c>
      <c r="D40" s="85">
        <v>41</v>
      </c>
      <c r="E40" s="85">
        <v>32</v>
      </c>
      <c r="F40" s="85">
        <f>30000000/1000000</f>
        <v>30</v>
      </c>
      <c r="G40" s="85">
        <f>41750000/1000000</f>
        <v>41.75</v>
      </c>
    </row>
    <row r="41" spans="3:7" x14ac:dyDescent="0.25">
      <c r="C41" s="8" t="s">
        <v>82</v>
      </c>
      <c r="D41" s="85">
        <v>101</v>
      </c>
      <c r="E41" s="85">
        <v>278</v>
      </c>
      <c r="F41" s="85">
        <f>206344060/1000000</f>
        <v>206.34406000000001</v>
      </c>
      <c r="G41" s="85">
        <f>129899785/1000000</f>
        <v>129.89978500000001</v>
      </c>
    </row>
    <row r="42" spans="3:7" x14ac:dyDescent="0.25">
      <c r="C42" s="8" t="s">
        <v>80</v>
      </c>
      <c r="D42" s="85">
        <v>236</v>
      </c>
      <c r="E42" s="85">
        <v>90</v>
      </c>
      <c r="F42" s="85">
        <f>121081207/1000000</f>
        <v>121.08120700000001</v>
      </c>
      <c r="G42" s="85">
        <f>158699623/1000000</f>
        <v>158.699623</v>
      </c>
    </row>
    <row r="43" spans="3:7" x14ac:dyDescent="0.25">
      <c r="C43" s="66" t="s">
        <v>83</v>
      </c>
      <c r="D43" s="92">
        <v>12065</v>
      </c>
      <c r="E43" s="92">
        <v>13769</v>
      </c>
      <c r="F43" s="92">
        <f>+F39+F31+F27+F23+F11+F7+F17</f>
        <v>16341.85809605</v>
      </c>
      <c r="G43" s="92">
        <f>+G39+G31+G27+G23+G11+G7+G17</f>
        <v>16463.427918100002</v>
      </c>
    </row>
    <row r="44" spans="3:7" x14ac:dyDescent="0.25"/>
    <row r="45" spans="3:7" x14ac:dyDescent="0.25">
      <c r="C45" s="3" t="s">
        <v>221</v>
      </c>
    </row>
    <row r="46" spans="3:7" x14ac:dyDescent="0.25"/>
    <row r="47" spans="3:7" x14ac:dyDescent="0.25"/>
    <row r="48" spans="3:7" ht="15.75" x14ac:dyDescent="0.25">
      <c r="C48" s="137" t="s">
        <v>197</v>
      </c>
      <c r="D48" s="137"/>
      <c r="E48" s="137"/>
      <c r="F48" s="137"/>
    </row>
    <row r="49" spans="3:7" x14ac:dyDescent="0.25"/>
    <row r="50" spans="3:7" x14ac:dyDescent="0.25">
      <c r="C50" s="127" t="s">
        <v>84</v>
      </c>
      <c r="D50" s="127"/>
      <c r="E50" s="127"/>
      <c r="F50" s="127"/>
    </row>
    <row r="51" spans="3:7" x14ac:dyDescent="0.25">
      <c r="C51" s="66" t="s">
        <v>36</v>
      </c>
      <c r="D51" s="66" t="s">
        <v>45</v>
      </c>
      <c r="E51" s="66" t="s">
        <v>46</v>
      </c>
      <c r="F51" s="66" t="s">
        <v>47</v>
      </c>
    </row>
    <row r="52" spans="3:7" x14ac:dyDescent="0.25">
      <c r="C52" s="11" t="s">
        <v>51</v>
      </c>
      <c r="D52" s="85">
        <v>1798282014</v>
      </c>
      <c r="E52" s="85">
        <v>5144542773</v>
      </c>
      <c r="F52" s="85">
        <v>4396576288</v>
      </c>
      <c r="G52" s="26"/>
    </row>
    <row r="53" spans="3:7" x14ac:dyDescent="0.25">
      <c r="C53" s="11" t="s">
        <v>52</v>
      </c>
      <c r="D53" s="85">
        <v>1155884834</v>
      </c>
      <c r="E53" s="85">
        <v>1279132619</v>
      </c>
      <c r="F53" s="85">
        <v>1376216717</v>
      </c>
      <c r="G53" s="26"/>
    </row>
    <row r="54" spans="3:7" x14ac:dyDescent="0.25">
      <c r="C54" s="11" t="s">
        <v>53</v>
      </c>
      <c r="D54" s="85">
        <v>1739211270</v>
      </c>
      <c r="E54" s="85">
        <v>1845060046</v>
      </c>
      <c r="F54" s="85">
        <v>2673552762</v>
      </c>
      <c r="G54" s="26"/>
    </row>
    <row r="55" spans="3:7" x14ac:dyDescent="0.25">
      <c r="C55" s="11" t="s">
        <v>54</v>
      </c>
      <c r="D55" s="85">
        <v>3096928681</v>
      </c>
      <c r="E55" s="85">
        <v>1240813186</v>
      </c>
      <c r="F55" s="85">
        <v>1481465699</v>
      </c>
      <c r="G55" s="26"/>
    </row>
    <row r="56" spans="3:7" x14ac:dyDescent="0.25">
      <c r="C56" s="11" t="s">
        <v>55</v>
      </c>
      <c r="D56" s="85">
        <v>392512189</v>
      </c>
      <c r="E56" s="85">
        <v>254676521</v>
      </c>
      <c r="F56" s="85">
        <v>304328323</v>
      </c>
      <c r="G56" s="26"/>
    </row>
    <row r="57" spans="3:7" x14ac:dyDescent="0.25">
      <c r="C57" s="83" t="s">
        <v>28</v>
      </c>
      <c r="D57" s="70">
        <v>8182818988</v>
      </c>
      <c r="E57" s="70">
        <v>9764225145</v>
      </c>
      <c r="F57" s="70">
        <v>10232139789</v>
      </c>
      <c r="G57" s="26"/>
    </row>
    <row r="58" spans="3:7" x14ac:dyDescent="0.25"/>
    <row r="59" spans="3:7" x14ac:dyDescent="0.25">
      <c r="C59" s="3" t="s">
        <v>221</v>
      </c>
    </row>
    <row r="60" spans="3:7" x14ac:dyDescent="0.25"/>
    <row r="61" spans="3:7" x14ac:dyDescent="0.25">
      <c r="C61" s="150" t="s">
        <v>250</v>
      </c>
      <c r="D61" s="151"/>
      <c r="E61" s="151"/>
      <c r="F61" s="152"/>
    </row>
    <row r="62" spans="3:7" x14ac:dyDescent="0.25">
      <c r="C62" s="153"/>
      <c r="D62" s="154"/>
      <c r="E62" s="154"/>
      <c r="F62" s="155"/>
    </row>
    <row r="63" spans="3:7" x14ac:dyDescent="0.25"/>
  </sheetData>
  <sheetProtection password="CD78" sheet="1" objects="1" scenarios="1"/>
  <mergeCells count="6">
    <mergeCell ref="B1:H1"/>
    <mergeCell ref="C6:G6"/>
    <mergeCell ref="C3:G3"/>
    <mergeCell ref="C61:F62"/>
    <mergeCell ref="C48:F48"/>
    <mergeCell ref="C50:F5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N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5.7109375" style="1" customWidth="1"/>
    <col min="3" max="3" width="9.7109375" style="1" customWidth="1"/>
    <col min="4" max="4" width="15.7109375" style="1" customWidth="1"/>
    <col min="5" max="5" width="11.7109375" style="1" customWidth="1"/>
    <col min="6" max="6" width="15.7109375" style="1" customWidth="1"/>
    <col min="7" max="7" width="11.7109375" style="1" customWidth="1"/>
    <col min="8" max="8" width="15.7109375" style="1" customWidth="1"/>
    <col min="9" max="9" width="11.7109375" style="1" customWidth="1"/>
    <col min="10" max="11" width="15.7109375" style="1" customWidth="1"/>
    <col min="12" max="12" width="11.7109375" style="1" customWidth="1"/>
    <col min="13" max="13" width="15.7109375" style="1" customWidth="1"/>
    <col min="14" max="14" width="5.7109375" style="1" customWidth="1"/>
    <col min="15" max="16384" width="11.42578125" style="1" hidden="1"/>
  </cols>
  <sheetData>
    <row r="1" spans="2:14" s="64" customFormat="1" ht="26.25" customHeight="1" x14ac:dyDescent="0.25">
      <c r="B1" s="132" t="s">
        <v>214</v>
      </c>
      <c r="C1" s="132"/>
      <c r="D1" s="132"/>
      <c r="E1" s="132"/>
      <c r="F1" s="132"/>
      <c r="G1" s="132"/>
      <c r="H1" s="132"/>
      <c r="I1" s="132"/>
      <c r="J1" s="132"/>
      <c r="K1" s="132"/>
      <c r="L1" s="132"/>
      <c r="M1" s="132"/>
      <c r="N1" s="132"/>
    </row>
    <row r="2" spans="2:14" x14ac:dyDescent="0.25"/>
    <row r="3" spans="2:14" x14ac:dyDescent="0.25"/>
    <row r="4" spans="2:14" x14ac:dyDescent="0.25">
      <c r="C4" s="143" t="s">
        <v>242</v>
      </c>
      <c r="D4" s="131" t="s">
        <v>254</v>
      </c>
      <c r="E4" s="159"/>
      <c r="F4" s="159"/>
      <c r="G4" s="159"/>
      <c r="H4" s="159"/>
      <c r="I4" s="160"/>
      <c r="J4" s="156" t="s">
        <v>208</v>
      </c>
      <c r="K4" s="147" t="s">
        <v>258</v>
      </c>
      <c r="L4" s="148"/>
      <c r="M4" s="146" t="s">
        <v>259</v>
      </c>
    </row>
    <row r="5" spans="2:14" x14ac:dyDescent="0.25">
      <c r="C5" s="143"/>
      <c r="D5" s="143" t="s">
        <v>255</v>
      </c>
      <c r="E5" s="144"/>
      <c r="F5" s="147" t="s">
        <v>256</v>
      </c>
      <c r="G5" s="148"/>
      <c r="H5" s="147" t="s">
        <v>257</v>
      </c>
      <c r="I5" s="144"/>
      <c r="J5" s="157"/>
      <c r="K5" s="147"/>
      <c r="L5" s="148"/>
      <c r="M5" s="146"/>
    </row>
    <row r="6" spans="2:14" x14ac:dyDescent="0.25">
      <c r="C6" s="143"/>
      <c r="D6" s="66" t="s">
        <v>243</v>
      </c>
      <c r="E6" s="73" t="s">
        <v>244</v>
      </c>
      <c r="F6" s="74" t="s">
        <v>243</v>
      </c>
      <c r="G6" s="88" t="s">
        <v>244</v>
      </c>
      <c r="H6" s="74" t="s">
        <v>243</v>
      </c>
      <c r="I6" s="73" t="s">
        <v>244</v>
      </c>
      <c r="J6" s="158"/>
      <c r="K6" s="74" t="s">
        <v>243</v>
      </c>
      <c r="L6" s="88" t="s">
        <v>244</v>
      </c>
      <c r="M6" s="146"/>
    </row>
    <row r="7" spans="2:14" x14ac:dyDescent="0.25">
      <c r="B7" s="98"/>
      <c r="C7" s="10">
        <v>2006</v>
      </c>
      <c r="D7" s="85">
        <v>63594262442</v>
      </c>
      <c r="E7" s="86">
        <v>0.82397029759578522</v>
      </c>
      <c r="F7" s="89">
        <v>4955399129</v>
      </c>
      <c r="G7" s="90">
        <v>6.420550436844745E-2</v>
      </c>
      <c r="H7" s="89">
        <v>6832341466</v>
      </c>
      <c r="I7" s="90">
        <v>8.8524439388702095E-2</v>
      </c>
      <c r="J7" s="97">
        <v>75382003037</v>
      </c>
      <c r="K7" s="89">
        <v>1798282014</v>
      </c>
      <c r="L7" s="90">
        <v>2.3299758647065273E-2</v>
      </c>
      <c r="M7" s="87">
        <v>77180285051</v>
      </c>
    </row>
    <row r="8" spans="2:14" x14ac:dyDescent="0.25">
      <c r="C8" s="10">
        <v>2007</v>
      </c>
      <c r="D8" s="85">
        <v>64505223674</v>
      </c>
      <c r="E8" s="86">
        <v>0.75191677914351973</v>
      </c>
      <c r="F8" s="89">
        <v>7092685426</v>
      </c>
      <c r="G8" s="90">
        <v>8.2677167479472055E-2</v>
      </c>
      <c r="H8" s="89">
        <v>9045264885</v>
      </c>
      <c r="I8" s="90">
        <v>0.10543776226871006</v>
      </c>
      <c r="J8" s="97">
        <v>80643173984</v>
      </c>
      <c r="K8" s="89">
        <v>5144542773</v>
      </c>
      <c r="L8" s="90">
        <v>5.9968291119954789E-2</v>
      </c>
      <c r="M8" s="87">
        <v>85787716757</v>
      </c>
    </row>
    <row r="9" spans="2:14" x14ac:dyDescent="0.25">
      <c r="C9" s="10">
        <v>2008</v>
      </c>
      <c r="D9" s="85">
        <v>72085009771</v>
      </c>
      <c r="E9" s="86">
        <v>0.77620549644120118</v>
      </c>
      <c r="F9" s="89">
        <v>7792090175</v>
      </c>
      <c r="G9" s="90">
        <v>8.3904590452503688E-2</v>
      </c>
      <c r="H9" s="89">
        <v>8594784633</v>
      </c>
      <c r="I9" s="90">
        <v>9.2547938802484048E-2</v>
      </c>
      <c r="J9" s="97">
        <v>88471884579</v>
      </c>
      <c r="K9" s="89">
        <v>4396576288</v>
      </c>
      <c r="L9" s="90">
        <v>4.7341974303811089E-2</v>
      </c>
      <c r="M9" s="87">
        <v>92868460867</v>
      </c>
    </row>
    <row r="10" spans="2:14" x14ac:dyDescent="0.25">
      <c r="C10" s="10">
        <v>2009</v>
      </c>
      <c r="D10" s="85">
        <v>79305932851</v>
      </c>
      <c r="E10" s="86">
        <v>0.77525476791620251</v>
      </c>
      <c r="F10" s="89">
        <v>8688504461</v>
      </c>
      <c r="G10" s="90">
        <v>8.493443387276807E-2</v>
      </c>
      <c r="H10" s="89">
        <v>9335078085</v>
      </c>
      <c r="I10" s="90">
        <v>9.1255011246930279E-2</v>
      </c>
      <c r="J10" s="97">
        <v>97329515397</v>
      </c>
      <c r="K10" s="89">
        <v>4967092290</v>
      </c>
      <c r="L10" s="90">
        <v>4.8555786964099158E-2</v>
      </c>
      <c r="M10" s="87">
        <v>102296607687</v>
      </c>
    </row>
    <row r="11" spans="2:14" x14ac:dyDescent="0.25">
      <c r="C11" s="10">
        <v>2010</v>
      </c>
      <c r="D11" s="85">
        <v>90712491488</v>
      </c>
      <c r="E11" s="86">
        <v>0.78821140329532624</v>
      </c>
      <c r="F11" s="89">
        <v>6603770222</v>
      </c>
      <c r="G11" s="90">
        <v>5.738092856165327E-2</v>
      </c>
      <c r="H11" s="89">
        <v>13168019539</v>
      </c>
      <c r="I11" s="90">
        <v>0.11441845537699168</v>
      </c>
      <c r="J11" s="97">
        <v>110484281249</v>
      </c>
      <c r="K11" s="89">
        <v>4602218526</v>
      </c>
      <c r="L11" s="90">
        <v>3.9989212766028792E-2</v>
      </c>
      <c r="M11" s="87">
        <v>115086499775</v>
      </c>
    </row>
    <row r="12" spans="2:14" x14ac:dyDescent="0.25">
      <c r="C12" s="10">
        <v>2011</v>
      </c>
      <c r="D12" s="85">
        <v>96672786058.316681</v>
      </c>
      <c r="E12" s="86">
        <v>0.78990145264130329</v>
      </c>
      <c r="F12" s="89">
        <v>6959681998.68332</v>
      </c>
      <c r="G12" s="90">
        <v>5.686670618311554E-2</v>
      </c>
      <c r="H12" s="89">
        <v>12362377821</v>
      </c>
      <c r="I12" s="90">
        <v>0.10101146969135529</v>
      </c>
      <c r="J12" s="97">
        <v>115994845878</v>
      </c>
      <c r="K12" s="89">
        <v>6391036228</v>
      </c>
      <c r="L12" s="90">
        <v>5.2220371484225939E-2</v>
      </c>
      <c r="M12" s="87">
        <v>122385882106</v>
      </c>
    </row>
    <row r="13" spans="2:14" x14ac:dyDescent="0.25">
      <c r="C13" s="10">
        <v>2012</v>
      </c>
      <c r="D13" s="85">
        <v>101272068596.1967</v>
      </c>
      <c r="E13" s="86">
        <v>0.75716996590756447</v>
      </c>
      <c r="F13" s="89">
        <v>5645436414.1132984</v>
      </c>
      <c r="G13" s="90">
        <v>4.2208626292126725E-2</v>
      </c>
      <c r="H13" s="89">
        <v>20155787060</v>
      </c>
      <c r="I13" s="90">
        <v>0.1506966018627714</v>
      </c>
      <c r="J13" s="97">
        <v>127073292070.31</v>
      </c>
      <c r="K13" s="89">
        <v>6677481410</v>
      </c>
      <c r="L13" s="90">
        <v>4.9924805937537398E-2</v>
      </c>
      <c r="M13" s="87">
        <v>133750773480.31</v>
      </c>
    </row>
    <row r="14" spans="2:14" x14ac:dyDescent="0.25"/>
    <row r="15" spans="2:14" x14ac:dyDescent="0.25">
      <c r="C15" s="3" t="s">
        <v>221</v>
      </c>
    </row>
    <row r="16" spans="2:14"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9">
    <mergeCell ref="B1:N1"/>
    <mergeCell ref="D5:E5"/>
    <mergeCell ref="F5:G5"/>
    <mergeCell ref="H5:I5"/>
    <mergeCell ref="C4:C6"/>
    <mergeCell ref="K4:L5"/>
    <mergeCell ref="M4:M6"/>
    <mergeCell ref="J4:J6"/>
    <mergeCell ref="D4:I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K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9" customWidth="1"/>
    <col min="2" max="2" width="5.7109375" style="1" customWidth="1"/>
    <col min="3" max="3" width="38.7109375" style="1" customWidth="1"/>
    <col min="4" max="10" width="15.7109375" style="1" customWidth="1"/>
    <col min="11" max="11" width="5.7109375" style="1" customWidth="1"/>
    <col min="12" max="16384" width="11.42578125" style="1" hidden="1"/>
  </cols>
  <sheetData>
    <row r="1" spans="2:11" s="64" customFormat="1" ht="26.25" customHeight="1" x14ac:dyDescent="0.25">
      <c r="B1" s="141" t="s">
        <v>262</v>
      </c>
      <c r="C1" s="141"/>
      <c r="D1" s="141"/>
      <c r="E1" s="141"/>
      <c r="F1" s="141"/>
      <c r="G1" s="141"/>
      <c r="H1" s="141"/>
      <c r="I1" s="141"/>
      <c r="J1" s="141"/>
      <c r="K1" s="141"/>
    </row>
    <row r="2" spans="2:11" x14ac:dyDescent="0.25"/>
    <row r="3" spans="2:11" x14ac:dyDescent="0.25"/>
    <row r="4" spans="2:11" ht="25.5" x14ac:dyDescent="0.25">
      <c r="C4" s="66" t="s">
        <v>156</v>
      </c>
      <c r="D4" s="66" t="s">
        <v>263</v>
      </c>
      <c r="E4" s="66" t="s">
        <v>264</v>
      </c>
      <c r="F4" s="66" t="s">
        <v>265</v>
      </c>
      <c r="G4" s="66" t="s">
        <v>266</v>
      </c>
      <c r="H4" s="66" t="s">
        <v>267</v>
      </c>
      <c r="I4" s="66" t="s">
        <v>268</v>
      </c>
      <c r="J4" s="66" t="s">
        <v>269</v>
      </c>
    </row>
    <row r="5" spans="2:11" x14ac:dyDescent="0.25">
      <c r="C5" s="161"/>
      <c r="D5" s="161"/>
      <c r="E5" s="161"/>
      <c r="F5" s="161"/>
      <c r="G5" s="161"/>
      <c r="H5" s="161"/>
      <c r="I5" s="161"/>
      <c r="J5" s="161"/>
    </row>
    <row r="6" spans="2:11" x14ac:dyDescent="0.25">
      <c r="C6" s="66" t="s">
        <v>167</v>
      </c>
      <c r="D6" s="92">
        <v>10742265276</v>
      </c>
      <c r="E6" s="92">
        <v>13773278463</v>
      </c>
      <c r="F6" s="92">
        <v>14116199889</v>
      </c>
      <c r="G6" s="92">
        <v>16178414294</v>
      </c>
      <c r="H6" s="92">
        <v>20546211175</v>
      </c>
      <c r="I6" s="92">
        <v>20575397514</v>
      </c>
      <c r="J6" s="92">
        <v>29081979651</v>
      </c>
    </row>
    <row r="7" spans="2:11" x14ac:dyDescent="0.25">
      <c r="C7" s="25" t="s">
        <v>157</v>
      </c>
      <c r="D7" s="99">
        <v>1143282211</v>
      </c>
      <c r="E7" s="99">
        <v>1649890874</v>
      </c>
      <c r="F7" s="99">
        <v>2301326655</v>
      </c>
      <c r="G7" s="99">
        <v>2986826877</v>
      </c>
      <c r="H7" s="99">
        <v>3673068293</v>
      </c>
      <c r="I7" s="99">
        <v>4358249622</v>
      </c>
      <c r="J7" s="99">
        <v>4840614078</v>
      </c>
    </row>
    <row r="8" spans="2:11" x14ac:dyDescent="0.25">
      <c r="C8" s="25" t="s">
        <v>261</v>
      </c>
      <c r="D8" s="99">
        <v>1204606495</v>
      </c>
      <c r="E8" s="99">
        <v>1693945500</v>
      </c>
      <c r="F8" s="99">
        <v>1680612365</v>
      </c>
      <c r="G8" s="99">
        <v>2103825772</v>
      </c>
      <c r="H8" s="99">
        <v>2369706461</v>
      </c>
      <c r="I8" s="99">
        <v>2752296781</v>
      </c>
      <c r="J8" s="99">
        <v>2899896653</v>
      </c>
    </row>
    <row r="9" spans="2:11" x14ac:dyDescent="0.25">
      <c r="C9" s="66" t="s">
        <v>168</v>
      </c>
      <c r="D9" s="92">
        <v>2347888706</v>
      </c>
      <c r="E9" s="92">
        <v>3343836374</v>
      </c>
      <c r="F9" s="92">
        <v>3981939020</v>
      </c>
      <c r="G9" s="92">
        <v>5090652649</v>
      </c>
      <c r="H9" s="92">
        <v>6042774754</v>
      </c>
      <c r="I9" s="92">
        <v>7110546403</v>
      </c>
      <c r="J9" s="92">
        <v>7740510731</v>
      </c>
    </row>
    <row r="10" spans="2:11" x14ac:dyDescent="0.25">
      <c r="C10" s="25" t="s">
        <v>89</v>
      </c>
      <c r="D10" s="99">
        <v>1355612777</v>
      </c>
      <c r="E10" s="99">
        <v>1384177205</v>
      </c>
      <c r="F10" s="99">
        <v>1539476236</v>
      </c>
      <c r="G10" s="99">
        <v>1752683560</v>
      </c>
      <c r="H10" s="99">
        <v>1335416882</v>
      </c>
      <c r="I10" s="99">
        <v>1102473290</v>
      </c>
      <c r="J10" s="99">
        <v>1185681860</v>
      </c>
    </row>
    <row r="11" spans="2:11" x14ac:dyDescent="0.25">
      <c r="C11" s="66" t="s">
        <v>169</v>
      </c>
      <c r="D11" s="92">
        <v>1355612777</v>
      </c>
      <c r="E11" s="92">
        <v>1384177205</v>
      </c>
      <c r="F11" s="92">
        <v>1539476236</v>
      </c>
      <c r="G11" s="92">
        <v>1752683560</v>
      </c>
      <c r="H11" s="92">
        <v>1335416882</v>
      </c>
      <c r="I11" s="92">
        <v>1102473290</v>
      </c>
      <c r="J11" s="92">
        <v>1185681860</v>
      </c>
    </row>
    <row r="12" spans="2:11" x14ac:dyDescent="0.25">
      <c r="C12" s="25" t="s">
        <v>158</v>
      </c>
      <c r="D12" s="99">
        <v>847174521</v>
      </c>
      <c r="E12" s="99">
        <v>1680112045</v>
      </c>
      <c r="F12" s="99">
        <v>1848067905</v>
      </c>
      <c r="G12" s="99">
        <v>1372361094</v>
      </c>
      <c r="H12" s="99">
        <v>1587959573</v>
      </c>
      <c r="I12" s="99">
        <v>1617328046</v>
      </c>
      <c r="J12" s="99">
        <v>2273709461</v>
      </c>
    </row>
    <row r="13" spans="2:11" x14ac:dyDescent="0.25">
      <c r="C13" s="25" t="s">
        <v>159</v>
      </c>
      <c r="D13" s="99">
        <v>1979154600</v>
      </c>
      <c r="E13" s="99">
        <v>2180745634</v>
      </c>
      <c r="F13" s="99">
        <v>1180267662</v>
      </c>
      <c r="G13" s="99">
        <v>1307324228</v>
      </c>
      <c r="H13" s="99">
        <v>1119439715</v>
      </c>
      <c r="I13" s="99">
        <v>1156505715</v>
      </c>
      <c r="J13" s="99">
        <v>2943575339</v>
      </c>
    </row>
    <row r="14" spans="2:11" x14ac:dyDescent="0.25">
      <c r="C14" s="25" t="s">
        <v>160</v>
      </c>
      <c r="D14" s="99">
        <v>2328361196</v>
      </c>
      <c r="E14" s="99">
        <v>2723674742</v>
      </c>
      <c r="F14" s="99">
        <v>2398992930</v>
      </c>
      <c r="G14" s="99">
        <v>2384652097</v>
      </c>
      <c r="H14" s="99">
        <v>5217229892</v>
      </c>
      <c r="I14" s="99">
        <v>4120194524</v>
      </c>
      <c r="J14" s="99">
        <v>8856784686</v>
      </c>
    </row>
    <row r="15" spans="2:11" x14ac:dyDescent="0.25">
      <c r="C15" s="25" t="s">
        <v>161</v>
      </c>
      <c r="D15" s="99">
        <v>690680481</v>
      </c>
      <c r="E15" s="99">
        <v>446953994</v>
      </c>
      <c r="F15" s="99">
        <v>267704520</v>
      </c>
      <c r="G15" s="99">
        <v>1101656599</v>
      </c>
      <c r="H15" s="99">
        <v>698536819</v>
      </c>
      <c r="I15" s="99">
        <v>561508696</v>
      </c>
      <c r="J15" s="99">
        <v>428089476</v>
      </c>
    </row>
    <row r="16" spans="2:11" x14ac:dyDescent="0.25">
      <c r="C16" s="25" t="s">
        <v>162</v>
      </c>
      <c r="D16" s="99">
        <v>1193392995</v>
      </c>
      <c r="E16" s="99">
        <v>2013778469</v>
      </c>
      <c r="F16" s="99">
        <v>2899751616</v>
      </c>
      <c r="G16" s="99">
        <v>3169084067</v>
      </c>
      <c r="H16" s="99">
        <v>4544853540</v>
      </c>
      <c r="I16" s="99">
        <v>4906840840</v>
      </c>
      <c r="J16" s="99">
        <v>5653628098</v>
      </c>
    </row>
    <row r="17" spans="3:10" x14ac:dyDescent="0.25">
      <c r="C17" s="66" t="s">
        <v>170</v>
      </c>
      <c r="D17" s="92">
        <v>7038763793</v>
      </c>
      <c r="E17" s="92">
        <v>9045264884</v>
      </c>
      <c r="F17" s="92">
        <v>8594784633</v>
      </c>
      <c r="G17" s="92">
        <v>9335078085</v>
      </c>
      <c r="H17" s="92">
        <v>13168019539</v>
      </c>
      <c r="I17" s="92">
        <v>12362377821</v>
      </c>
      <c r="J17" s="92">
        <v>20155787060</v>
      </c>
    </row>
    <row r="18" spans="3:10" x14ac:dyDescent="0.25">
      <c r="C18" s="138"/>
      <c r="D18" s="139"/>
      <c r="E18" s="139"/>
      <c r="F18" s="139"/>
      <c r="G18" s="139"/>
      <c r="H18" s="139"/>
      <c r="I18" s="139"/>
      <c r="J18" s="140"/>
    </row>
    <row r="19" spans="3:10" ht="25.5" x14ac:dyDescent="0.25">
      <c r="C19" s="66" t="s">
        <v>171</v>
      </c>
      <c r="D19" s="92">
        <v>1350056922</v>
      </c>
      <c r="E19" s="92">
        <v>862517619</v>
      </c>
      <c r="F19" s="92">
        <v>981967690</v>
      </c>
      <c r="G19" s="92">
        <v>979770795</v>
      </c>
      <c r="H19" s="92">
        <v>2500113305</v>
      </c>
      <c r="I19" s="92">
        <v>1626882652</v>
      </c>
      <c r="J19" s="92">
        <v>1528610071</v>
      </c>
    </row>
    <row r="20" spans="3:10" x14ac:dyDescent="0.25">
      <c r="C20" s="138"/>
      <c r="D20" s="139"/>
      <c r="E20" s="139"/>
      <c r="F20" s="139"/>
      <c r="G20" s="139"/>
      <c r="H20" s="139"/>
      <c r="I20" s="139"/>
      <c r="J20" s="140"/>
    </row>
    <row r="21" spans="3:10" x14ac:dyDescent="0.25">
      <c r="C21" s="66" t="s">
        <v>172</v>
      </c>
      <c r="D21" s="92">
        <f t="shared" ref="D21:J21" si="0">+D19+D6</f>
        <v>12092322198</v>
      </c>
      <c r="E21" s="92">
        <f t="shared" si="0"/>
        <v>14635796082</v>
      </c>
      <c r="F21" s="92">
        <f t="shared" si="0"/>
        <v>15098167579</v>
      </c>
      <c r="G21" s="92">
        <f t="shared" si="0"/>
        <v>17158185089</v>
      </c>
      <c r="H21" s="92">
        <f t="shared" si="0"/>
        <v>23046324480</v>
      </c>
      <c r="I21" s="92">
        <f t="shared" si="0"/>
        <v>22202280166</v>
      </c>
      <c r="J21" s="92">
        <f t="shared" si="0"/>
        <v>30610589722</v>
      </c>
    </row>
    <row r="22" spans="3:10" x14ac:dyDescent="0.25"/>
    <row r="23" spans="3:10" x14ac:dyDescent="0.25"/>
    <row r="24" spans="3:10" ht="25.5" x14ac:dyDescent="0.25">
      <c r="C24" s="66" t="s">
        <v>178</v>
      </c>
      <c r="D24" s="66" t="s">
        <v>173</v>
      </c>
      <c r="E24" s="66" t="s">
        <v>174</v>
      </c>
      <c r="F24" s="66" t="s">
        <v>175</v>
      </c>
      <c r="G24" s="66" t="s">
        <v>176</v>
      </c>
      <c r="H24" s="66" t="s">
        <v>177</v>
      </c>
      <c r="I24" s="66" t="s">
        <v>209</v>
      </c>
      <c r="J24" s="66" t="s">
        <v>260</v>
      </c>
    </row>
    <row r="25" spans="3:10" x14ac:dyDescent="0.25">
      <c r="C25" s="11" t="s">
        <v>163</v>
      </c>
      <c r="D25" s="10">
        <v>84</v>
      </c>
      <c r="E25" s="10">
        <v>109</v>
      </c>
      <c r="F25" s="10">
        <v>124</v>
      </c>
      <c r="G25" s="10">
        <v>131</v>
      </c>
      <c r="H25" s="10">
        <v>139</v>
      </c>
      <c r="I25" s="9">
        <v>139</v>
      </c>
      <c r="J25" s="9">
        <v>154</v>
      </c>
    </row>
    <row r="26" spans="3:10" x14ac:dyDescent="0.25">
      <c r="C26" s="11" t="s">
        <v>164</v>
      </c>
      <c r="D26" s="10">
        <v>28</v>
      </c>
      <c r="E26" s="10">
        <v>32</v>
      </c>
      <c r="F26" s="10">
        <v>35</v>
      </c>
      <c r="G26" s="10">
        <v>34</v>
      </c>
      <c r="H26" s="10">
        <v>31</v>
      </c>
      <c r="I26" s="10">
        <v>33</v>
      </c>
      <c r="J26" s="9">
        <v>40</v>
      </c>
    </row>
    <row r="27" spans="3:10" x14ac:dyDescent="0.25">
      <c r="C27" s="11" t="s">
        <v>165</v>
      </c>
      <c r="D27" s="10">
        <v>261</v>
      </c>
      <c r="E27" s="10">
        <v>235</v>
      </c>
      <c r="F27" s="10">
        <v>200</v>
      </c>
      <c r="G27" s="10">
        <v>205</v>
      </c>
      <c r="H27" s="10">
        <v>215</v>
      </c>
      <c r="I27" s="10">
        <v>216</v>
      </c>
      <c r="J27" s="9">
        <v>225</v>
      </c>
    </row>
    <row r="28" spans="3:10" x14ac:dyDescent="0.25">
      <c r="C28" s="11" t="s">
        <v>166</v>
      </c>
      <c r="D28" s="10">
        <v>19</v>
      </c>
      <c r="E28" s="10">
        <v>20</v>
      </c>
      <c r="F28" s="10">
        <v>21</v>
      </c>
      <c r="G28" s="10">
        <v>23</v>
      </c>
      <c r="H28" s="10">
        <v>21</v>
      </c>
      <c r="I28" s="10">
        <v>22</v>
      </c>
      <c r="J28" s="9">
        <v>21</v>
      </c>
    </row>
    <row r="29" spans="3:10" x14ac:dyDescent="0.25">
      <c r="C29" s="66" t="s">
        <v>179</v>
      </c>
      <c r="D29" s="66">
        <v>392</v>
      </c>
      <c r="E29" s="66">
        <v>396</v>
      </c>
      <c r="F29" s="66">
        <v>380</v>
      </c>
      <c r="G29" s="66">
        <v>393</v>
      </c>
      <c r="H29" s="66">
        <v>406</v>
      </c>
      <c r="I29" s="80">
        <f>SUM(I25:I28)</f>
        <v>410</v>
      </c>
      <c r="J29" s="80">
        <f>SUM(J25:J28)</f>
        <v>440</v>
      </c>
    </row>
    <row r="30" spans="3:10" x14ac:dyDescent="0.25"/>
    <row r="31" spans="3:10" x14ac:dyDescent="0.25">
      <c r="C31" s="1" t="s">
        <v>221</v>
      </c>
    </row>
    <row r="32" spans="3:10" x14ac:dyDescent="0.25"/>
    <row r="33" x14ac:dyDescent="0.25"/>
    <row r="34" x14ac:dyDescent="0.25"/>
    <row r="35" x14ac:dyDescent="0.25"/>
  </sheetData>
  <sheetProtection password="CD78" sheet="1" objects="1" scenarios="1"/>
  <mergeCells count="4">
    <mergeCell ref="B1:K1"/>
    <mergeCell ref="C5:J5"/>
    <mergeCell ref="C20:J20"/>
    <mergeCell ref="C18:J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RE-01</vt:lpstr>
      <vt:lpstr>RE-02</vt:lpstr>
      <vt:lpstr>RE-03</vt:lpstr>
      <vt:lpstr>RE-04</vt:lpstr>
      <vt:lpstr>RE-05</vt:lpstr>
      <vt:lpstr>RE-06</vt:lpstr>
      <vt:lpstr>RE-07</vt:lpstr>
      <vt:lpstr>RE-08</vt:lpstr>
      <vt:lpstr>RE-09</vt:lpstr>
      <vt:lpstr>RE-10</vt:lpstr>
      <vt:lpstr>RE-11</vt:lpstr>
      <vt:lpstr>RE-12</vt:lpstr>
      <vt:lpstr>RE-13</vt:lpstr>
      <vt:lpstr>RE-14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2014-07-14T21:39:34Z</dcterms:modified>
</cp:coreProperties>
</file>