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 UTP\Documents\001 COMPRAS 2022 BEATRIZ OSSA\INVITACIONES PUBLICAS 2022\INVITACION PUBLICA BS 34  AUDIOVISUALES PC Y 511\"/>
    </mc:Choice>
  </mc:AlternateContent>
  <bookViews>
    <workbookView xWindow="0" yWindow="0" windowWidth="28800" windowHeight="11655" tabRatio="759" activeTab="3"/>
  </bookViews>
  <sheets>
    <sheet name="ANEXO 1 PC" sheetId="6" r:id="rId1"/>
    <sheet name="Anexo 2 - jb" sheetId="4" r:id="rId2"/>
    <sheet name="Anexo 3 item 3 INV" sheetId="8" r:id="rId3"/>
    <sheet name="adjudicación" sheetId="5" r:id="rId4"/>
  </sheets>
  <definedNames>
    <definedName name="_xlnm._FilterDatabase" localSheetId="3" hidden="1">adjudicación!$B$2:$B$18</definedName>
    <definedName name="_xlnm._FilterDatabase" localSheetId="0" hidden="1">'ANEXO 1 PC'!$AH$1:$AH$40</definedName>
    <definedName name="_xlnm._FilterDatabase" localSheetId="1" hidden="1">'Anexo 2 - jb'!$AJ$1:$AJ$22</definedName>
    <definedName name="_xlnm._FilterDatabase" localSheetId="2" hidden="1">'Anexo 3 item 3 INV'!$AJ$1:$AJ$17</definedName>
  </definedNames>
  <calcPr calcId="162913"/>
</workbook>
</file>

<file path=xl/calcChain.xml><?xml version="1.0" encoding="utf-8"?>
<calcChain xmlns="http://schemas.openxmlformats.org/spreadsheetml/2006/main">
  <c r="E15" i="5" l="1"/>
  <c r="E11" i="5"/>
  <c r="E10" i="5"/>
  <c r="AI16" i="4"/>
  <c r="AI20" i="4"/>
  <c r="AI19" i="4"/>
  <c r="AI18" i="4"/>
  <c r="AI9" i="4"/>
  <c r="AI10" i="4"/>
  <c r="AI11" i="4"/>
  <c r="AI12" i="4"/>
  <c r="AI13" i="4"/>
  <c r="AI14" i="4"/>
  <c r="AI15" i="4"/>
  <c r="AI8" i="4"/>
  <c r="E5" i="5"/>
  <c r="E4" i="5"/>
  <c r="E6" i="5" s="1"/>
  <c r="AA9" i="4" l="1"/>
  <c r="AB9" i="4"/>
  <c r="AC9" i="4" s="1"/>
  <c r="AA10" i="4"/>
  <c r="AB10" i="4" s="1"/>
  <c r="AC10" i="4" s="1"/>
  <c r="AA11" i="4"/>
  <c r="AB11" i="4" s="1"/>
  <c r="AC11" i="4" s="1"/>
  <c r="AA12" i="4"/>
  <c r="AB12" i="4" s="1"/>
  <c r="AC12" i="4" s="1"/>
  <c r="AA13" i="4"/>
  <c r="AB13" i="4"/>
  <c r="AC13" i="4"/>
  <c r="AA14" i="4"/>
  <c r="AB14" i="4"/>
  <c r="AC14" i="4"/>
  <c r="AA15" i="4"/>
  <c r="AB15" i="4" s="1"/>
  <c r="AC15" i="4" s="1"/>
  <c r="R9" i="4" l="1"/>
  <c r="T9" i="4"/>
  <c r="R10" i="4"/>
  <c r="S10" i="4" s="1"/>
  <c r="T10" i="4" s="1"/>
  <c r="R11" i="4"/>
  <c r="S11" i="4" s="1"/>
  <c r="T11" i="4" s="1"/>
  <c r="R12" i="4"/>
  <c r="S12" i="4"/>
  <c r="T12" i="4"/>
  <c r="R13" i="4"/>
  <c r="S13" i="4" s="1"/>
  <c r="T13" i="4" s="1"/>
  <c r="R14" i="4"/>
  <c r="S14" i="4"/>
  <c r="T14" i="4"/>
  <c r="R15" i="4"/>
  <c r="S15" i="4" s="1"/>
  <c r="T15" i="4" s="1"/>
  <c r="I9" i="4" l="1"/>
  <c r="J9" i="4" s="1"/>
  <c r="I10" i="4"/>
  <c r="J10" i="4" s="1"/>
  <c r="I11" i="4"/>
  <c r="J11" i="4"/>
  <c r="AH11" i="4" s="1"/>
  <c r="AJ11" i="4" s="1"/>
  <c r="I12" i="4"/>
  <c r="J12" i="4"/>
  <c r="AH12" i="4" s="1"/>
  <c r="AJ12" i="4" s="1"/>
  <c r="K12" i="4"/>
  <c r="I13" i="4"/>
  <c r="J13" i="4"/>
  <c r="AH13" i="4" s="1"/>
  <c r="AJ13" i="4" s="1"/>
  <c r="I14" i="4"/>
  <c r="J14" i="4" s="1"/>
  <c r="I15" i="4"/>
  <c r="J15" i="4" s="1"/>
  <c r="K11" i="4" l="1"/>
  <c r="AH14" i="4"/>
  <c r="AJ14" i="4" s="1"/>
  <c r="K14" i="4"/>
  <c r="K10" i="4"/>
  <c r="AH10" i="4"/>
  <c r="AJ10" i="4" s="1"/>
  <c r="K15" i="4"/>
  <c r="AH15" i="4"/>
  <c r="K9" i="4"/>
  <c r="AH9" i="4"/>
  <c r="AJ9" i="4" s="1"/>
  <c r="K13" i="4"/>
  <c r="AF9" i="6" l="1"/>
  <c r="AH9" i="6" s="1"/>
  <c r="AF10" i="6"/>
  <c r="AH10" i="6" s="1"/>
  <c r="AF11" i="6"/>
  <c r="AF12" i="6"/>
  <c r="AF13" i="6"/>
  <c r="AF14" i="6"/>
  <c r="AF15" i="6"/>
  <c r="AF16" i="6"/>
  <c r="AF17" i="6"/>
  <c r="AF18" i="6"/>
  <c r="AF19" i="6"/>
  <c r="AF20" i="6"/>
  <c r="AF21" i="6"/>
  <c r="AF22" i="6"/>
  <c r="AF23" i="6"/>
  <c r="AF24" i="6"/>
  <c r="AF25" i="6"/>
  <c r="AF26" i="6"/>
  <c r="AF27" i="6"/>
  <c r="AF28" i="6"/>
  <c r="AF29" i="6"/>
  <c r="AF30" i="6"/>
  <c r="AF31" i="6"/>
  <c r="AF32" i="6"/>
  <c r="AF33" i="6"/>
  <c r="AF34" i="6"/>
  <c r="AF35" i="6"/>
  <c r="AF36" i="6"/>
  <c r="AF37" i="6"/>
  <c r="AF38" i="6"/>
  <c r="AH11" i="6" l="1"/>
  <c r="AH12" i="6"/>
  <c r="AH13" i="6"/>
  <c r="AH14" i="6"/>
  <c r="AH15" i="6"/>
  <c r="AH16" i="6"/>
  <c r="AH17" i="6"/>
  <c r="AH18" i="6"/>
  <c r="AH19" i="6"/>
  <c r="AH20" i="6"/>
  <c r="AH21" i="6"/>
  <c r="AH22" i="6"/>
  <c r="AH23" i="6"/>
  <c r="AH24" i="6"/>
  <c r="AH25" i="6"/>
  <c r="AH26" i="6"/>
  <c r="AH27" i="6"/>
  <c r="AH28" i="6"/>
  <c r="AH29" i="6"/>
  <c r="AH30" i="6"/>
  <c r="AH31" i="6"/>
  <c r="AH32" i="6"/>
  <c r="AH33" i="6"/>
  <c r="AH34" i="6"/>
  <c r="AH35" i="6"/>
  <c r="AH36" i="6"/>
  <c r="AH37" i="6"/>
  <c r="AH38" i="6"/>
  <c r="AF8" i="6" l="1"/>
  <c r="AH8" i="6" s="1"/>
  <c r="E16" i="5" l="1"/>
  <c r="AA9" i="8" l="1"/>
  <c r="R9" i="8"/>
  <c r="I9" i="8"/>
  <c r="J9" i="8" s="1"/>
  <c r="AA8" i="8"/>
  <c r="R8" i="8"/>
  <c r="I8" i="8"/>
  <c r="J8" i="8" s="1"/>
  <c r="AA8" i="4"/>
  <c r="AB8" i="4" s="1"/>
  <c r="AC8" i="4" s="1"/>
  <c r="AB9" i="8" l="1"/>
  <c r="AC9" i="8" s="1"/>
  <c r="AB8" i="8"/>
  <c r="AC8" i="8" s="1"/>
  <c r="S9" i="8"/>
  <c r="AH9" i="8" s="1"/>
  <c r="S8" i="8"/>
  <c r="T8" i="8" s="1"/>
  <c r="K8" i="8"/>
  <c r="K9" i="8"/>
  <c r="AH8" i="8" l="1"/>
  <c r="K10" i="8"/>
  <c r="AC10" i="8"/>
  <c r="T9" i="8"/>
  <c r="T10" i="8" s="1"/>
  <c r="AJ9" i="8"/>
  <c r="AI9" i="8"/>
  <c r="AJ8" i="8"/>
  <c r="AI8" i="8"/>
  <c r="AH10" i="8"/>
  <c r="I8" i="4"/>
  <c r="J8" i="4" s="1"/>
  <c r="K8" i="4" s="1"/>
  <c r="AI10" i="8" l="1"/>
  <c r="AC16" i="4"/>
  <c r="E12" i="5" s="1"/>
  <c r="R8" i="4"/>
  <c r="S8" i="4" s="1"/>
  <c r="AG24" i="6" l="1"/>
  <c r="AG35" i="6"/>
  <c r="AG26" i="6"/>
  <c r="AG20" i="6"/>
  <c r="AG15" i="6"/>
  <c r="AG29" i="6"/>
  <c r="AG31" i="6"/>
  <c r="AG27" i="6"/>
  <c r="AG23" i="6"/>
  <c r="AG38" i="6"/>
  <c r="AG36" i="6"/>
  <c r="AG28" i="6"/>
  <c r="AG21" i="6"/>
  <c r="AG17" i="6"/>
  <c r="AG32" i="6"/>
  <c r="AG25" i="6"/>
  <c r="AG8" i="6"/>
  <c r="AG18" i="6"/>
  <c r="AG12" i="6"/>
  <c r="AG11" i="6"/>
  <c r="AG16" i="6"/>
  <c r="AG9" i="6"/>
  <c r="AG30" i="6"/>
  <c r="AG22" i="6"/>
  <c r="AG13" i="6"/>
  <c r="AG33" i="6"/>
  <c r="AG14" i="6"/>
  <c r="AG34" i="6"/>
  <c r="AG37" i="6"/>
  <c r="AG10" i="6"/>
  <c r="AG19" i="6"/>
  <c r="V39" i="6"/>
  <c r="AF39" i="6"/>
  <c r="L39" i="6"/>
  <c r="AH8" i="4"/>
  <c r="K16" i="4"/>
  <c r="AJ15" i="4"/>
  <c r="T8" i="4"/>
  <c r="T16" i="4" s="1"/>
  <c r="AG46" i="6" l="1"/>
  <c r="AG50" i="6"/>
  <c r="AG45" i="6"/>
  <c r="AG47" i="6" s="1"/>
  <c r="AG53" i="6" s="1"/>
  <c r="AG39" i="6"/>
  <c r="E18" i="5"/>
  <c r="AJ8" i="4"/>
</calcChain>
</file>

<file path=xl/sharedStrings.xml><?xml version="1.0" encoding="utf-8"?>
<sst xmlns="http://schemas.openxmlformats.org/spreadsheetml/2006/main" count="353" uniqueCount="170">
  <si>
    <t xml:space="preserve">UNIVERSIDAD TECNOLOGICA  DE PEREIRA </t>
  </si>
  <si>
    <t>REFERENCIA O DESCRIPCION</t>
  </si>
  <si>
    <t>UNIDAD DE MEDIDA</t>
  </si>
  <si>
    <t>CANTIDAD</t>
  </si>
  <si>
    <t>DESCRIPCION MARCA/ REFERENCIA/ESPECIFICACIONES OFERTADAS</t>
  </si>
  <si>
    <t>VALOR UNITARIO IVA INCLUIDO</t>
  </si>
  <si>
    <t>VALOR TOTAL</t>
  </si>
  <si>
    <t xml:space="preserve">TIEMPO DE ENTREGA </t>
  </si>
  <si>
    <t>% IVA
 ( si aplica en caso de ser exento por favor especificar )</t>
  </si>
  <si>
    <t>Observaciones:</t>
  </si>
  <si>
    <t>NOMBRE DEL ELEMENTO</t>
  </si>
  <si>
    <t>Unidad</t>
  </si>
  <si>
    <t>GARANTIA</t>
  </si>
  <si>
    <t xml:space="preserve">VALOR TOTAL OFERTA </t>
  </si>
  <si>
    <t>MARCA</t>
  </si>
  <si>
    <t>OBSERVACIONES</t>
  </si>
  <si>
    <t>VALOR UNITARIO ANTES DE IVA</t>
  </si>
  <si>
    <t>IVA</t>
  </si>
  <si>
    <t>MINIMO</t>
  </si>
  <si>
    <t>PROVEEDOR</t>
  </si>
  <si>
    <t>160 DIAS</t>
  </si>
  <si>
    <t>5 AÑOS</t>
  </si>
  <si>
    <t>TOTAL ADJUDICACIÓN</t>
  </si>
  <si>
    <t>SUMA ADJUDICADA</t>
  </si>
  <si>
    <t>COMPARATIVO DE OFERTAS item 1 anexo 1</t>
  </si>
  <si>
    <t>subítem</t>
  </si>
  <si>
    <t>HOMCENTER</t>
  </si>
  <si>
    <t>COMPARATIVO DE OFERTAS item 2 anexo 2</t>
  </si>
  <si>
    <t>COMPARATIVO DE OFERTAS item 3 anexo 3</t>
  </si>
  <si>
    <t>|</t>
  </si>
  <si>
    <t>SUB ÍTEMS</t>
  </si>
  <si>
    <t>ÍTEM</t>
  </si>
  <si>
    <t xml:space="preserve">TOTAL ADJUDICACIÓN ÍTEM 1 </t>
  </si>
  <si>
    <t>TOTAL</t>
  </si>
  <si>
    <t xml:space="preserve">TOTAL ADJUDICACIÓN ÍTEM 2 </t>
  </si>
  <si>
    <t xml:space="preserve">TOTAL ADJUDICACIÓN ÍTEM 3 </t>
  </si>
  <si>
    <t>INVITACIÓN PUBLICA BS-34-DE 2022 
Compra de equipos audiovisuales, tripodes, bases o soportes."</t>
  </si>
  <si>
    <t xml:space="preserve">Video Proyector XGA </t>
  </si>
  <si>
    <t>Marca: NEC - Modelo: NP-MC453X - Luminosidad: 4500 ANSI Lumens -
Resolución: XGA (1024 x 768) - Duración de las lámparas de hasta
20.000 horas en ECO. - Conectividad digital: HDMI x 2. - Conectividad
análoga: VGA x 1. - Salida para monitor VGA x 1. - Entrada y salida des-
embebida de audio 3.5 mm. - Relación de Contraste 20.000:1 INCLUYE SOPORTE UNIVERSAL</t>
  </si>
  <si>
    <t>UNIDAD</t>
  </si>
  <si>
    <t>NEC</t>
  </si>
  <si>
    <t>Videoproyector WXGA</t>
  </si>
  <si>
    <t>Marca: NEC - Modelo: NP-MC453X - Luminosidad: 4500 ANSI Lumens -
Resolución: XGA (1024 x 768) - Duración de las lámparas de hasta
20.000 horas en ECO. - Conectividad digital: HDMI x 2. - Conectividad
análoga: VGA x 1. - Salida para monitor VGA x 1. - Entrada y salida des-
embebida de audio 3.5 mm. - Relación de Contraste 20.000:1 INCLUYE SOPORTES</t>
  </si>
  <si>
    <t>VIDEOPROYECTOR</t>
  </si>
  <si>
    <t xml:space="preserve">Marca: EPSON Modelo: POWERLITE X05 3.300 lúmenes en blanco1 y 3.300 lúmenes en color. 786.432 pixeles (1024 x 768)x3, VGA, USB B y USB A aspecto: 4:3 Resolución nativa: XGA, Relación de contraste: Hasta 15000:1 ,su lámpara que dura hasta 10.000 horas. </t>
  </si>
  <si>
    <t>EPSON</t>
  </si>
  <si>
    <t>VIDEO BEAM</t>
  </si>
  <si>
    <t>Videoproyector</t>
  </si>
  <si>
    <t>TV LED 170 CMS (70")UHD SMART SAMSUNG 70 Pulgadas Smart Tv UN70RU7100 o Similares</t>
  </si>
  <si>
    <t>Smart TV Si Referencia UN70RU7100 Tamaño de Pantalla 70 pulgadas Resolución Uhd-4K Tipo de pantalla LED Procesador Quad-Core Contenido de la caja Mando a distancia (control remoto TM1940A) - Baterías (para control remoto) - Manual de Usuario - Manual electrónico - Cable de alimentación. Puerto Audio Óptico Si Puerto LAN Si Número De Puertos USB 2 Wi-Fi Direct Si Potenciador de Contraste Si Tipo de Altavoz Dolby Digital Plus - 2CH Motor de Imágenes Procesador UHD Celular a TV Si Salida de Sonido</t>
  </si>
  <si>
    <t>SAMSUNG</t>
  </si>
  <si>
    <t xml:space="preserve">TELEVISOR </t>
  </si>
  <si>
    <t>TV 55" FULL HD, INTERNET, RESOLUCIÓN FHD SINTONIZADOR DIGITAL CVB-T2. ENTRADAS 4 HDMI Y 3 USB Marca SAMSUNG</t>
  </si>
  <si>
    <t>Samsung</t>
  </si>
  <si>
    <t>TELEVISOR 60" SMART TV, UHD 4K</t>
  </si>
  <si>
    <t>Tamaño de la pantalla: 60 pulgadas
Resolución: 4K Ultra HD
Tecnología: OLED/CRYSTAL UHD
Conexión Bluetooth: Sí
Entradas USB: 3</t>
  </si>
  <si>
    <t>SAMSUNG - LG</t>
  </si>
  <si>
    <t>Televisoar</t>
  </si>
  <si>
    <t xml:space="preserve"> 4k de 64 pulgadas </t>
  </si>
  <si>
    <t>samsung</t>
  </si>
  <si>
    <t>TELEVISOR</t>
  </si>
  <si>
    <t>TELEVISOR DE 50"</t>
  </si>
  <si>
    <t>PANTALLA INDUSTRIAL</t>
  </si>
  <si>
    <t>MONITOR DE VIDEO INDUSTRIAL:
• Marca: SAMSUNG
• Tamaño de pantalla: 43”
• Uso Comercial Industrial: 24/7
• Resolución: 4K (3,840 x 2,160)
• Conectividad: HDMI X 2
• Salida de audio digital
• Conexión a red Wifi
• Conexión a red RJ45
• Conexión USB
• Formato de anclaje VESA 200 x 200</t>
  </si>
  <si>
    <t>TV LG 65" Pulgadas 164 Cm OLED65G1 4K-UHD OLED GALLERY Plano Smart TV</t>
  </si>
  <si>
    <t>Pantalla OLED diseño artistico Cinema HDR observa como lo imaginó el cineasta Procesador inteligente. Cerebro detrás de la imagen-sonido Televisor con Inteligencia Artificial Smart TV la manera fácil de disfrutar sin teclear.SALA DE MEDIOS AUDIOVISUALES</t>
  </si>
  <si>
    <t>LG,SAMSUNG</t>
  </si>
  <si>
    <t>CAMARA FOTOGRAFICA</t>
  </si>
  <si>
    <t>Las especificaciones técnicas son: Cámara Canon Eos Rebel T7 18-55mm, 24Mpx o equivalente. Por favor hacer caso omiso al tipo.</t>
  </si>
  <si>
    <t>CANON</t>
  </si>
  <si>
    <t>Camara Web</t>
  </si>
  <si>
    <t xml:space="preserve">Cámara web para trabajar por zoom </t>
  </si>
  <si>
    <t>Logitech.</t>
  </si>
  <si>
    <t>Cámara PTZ para Videoconfrencias</t>
  </si>
  <si>
    <t>Modelo: PS923
• Marca: SolidView
• Resolución nativa FullHD 1920 x 1080p @60fps.
• Cobertura horizontal 340 grados
• Cobertura vertical 90 grados
• Zoom óptico 10X
• Extensión activa USB hasta 12 Mts
• Conectividad: USB – RS232 – IR – 12 Voltios
• 9 Presets de posiciones ajustables por control
remoto.
• Compatible con cualquier software de
videoconferencia comercial (Zoom – Meat – Skype
– Teams – entre otros).
• Incluye instalación y configuración.
• Garantía 1 año.</t>
  </si>
  <si>
    <t>Logiotech/Solidview</t>
  </si>
  <si>
    <t>Cámara web HD con 720p y micrófono de largo alcance</t>
  </si>
  <si>
    <t>Cámara web HD con 720p y micrófono de largo alcance LOGITECH  C505</t>
  </si>
  <si>
    <t>LOGITECH.</t>
  </si>
  <si>
    <t>Cabina de sonido con micrófono</t>
  </si>
  <si>
    <t>CABINA DE SONIDO
• Marca Pro DJ
• cabina activa con parlante de 15" todos los
módulos de conexión y alimentación a cabina
pasiva
• cabina pasiva
• Pro-dj pb15e mp3 woofer de 15" driver de 1"
• Potencia: 120w rms
• Módulos de conexión: lector de memorias sd/usb
– bluetooth
• Reproduce archivos mp3 por carpetas
• Control remoto
• Ecualizador grafico
• Acabado en fibra
• 1 entrada de micrófono con volumen
independiente
• Salida para cabina pasiva
• Incluye micrófono inalámbrico de mano Marca
TAKSTAR</t>
  </si>
  <si>
    <t>DJ/TAKSTAR</t>
  </si>
  <si>
    <t>PARLANTE INALAMBRICO</t>
  </si>
  <si>
    <t>CHARGE 4, BLUETOOTH, CONEXIÓN USB, BATERIA 4.2 Y POTENCIA DE SALIDA 30W.</t>
  </si>
  <si>
    <t>JBL</t>
  </si>
  <si>
    <t>CABINA AMPLIFICADORA</t>
  </si>
  <si>
    <t>AMPLIFICADOR DE CABINA DE 15 PULGADAS, CON USB, BLUETHOO, RADIO FM, CON TRIPODE</t>
  </si>
  <si>
    <t>MAXLIN</t>
  </si>
  <si>
    <t xml:space="preserve">MICRÓFONO </t>
  </si>
  <si>
    <t>MICRÓFONO INALÁMBRICO DE SOLAPA</t>
  </si>
  <si>
    <t>TAKSTAR</t>
  </si>
  <si>
    <t>MICRÓFONO INHALÁMBRICO</t>
  </si>
  <si>
    <t>MICRÓFONO INHALÁMBRICO DOBLE DE MANO</t>
  </si>
  <si>
    <t>PRODJ</t>
  </si>
  <si>
    <t>GRABADORA DE VOZ PERIODISTA</t>
  </si>
  <si>
    <t>SONY REF.ICDPX470 4GB</t>
  </si>
  <si>
    <t>SONY</t>
  </si>
  <si>
    <t>DIADEMA BLUETOOTH MONOAURAL INALÁMBRICA</t>
  </si>
  <si>
    <t>PRO 925 Mono, Auricular inalámbrico Bluetooth® (925-15-508-205). Sonido de gran calidad: con voz HD y cancelación de ruido Tecnología Bluetooth® para movimiento en oficina. Hasta 12 horas de conversación.El procesamiento digital de señales (DSP) reduce el ruido de fondo y elimina el eco. Protege al usuario de picos repentinos de volumen. Los micrófonos con cancelación de ruido reducen el ruido de fondo no deseado y son ideales en entornos de oficinas de planta diáfana, con mucha gente y ruidosas</t>
  </si>
  <si>
    <t>panasonic o compatible con el teléfono</t>
  </si>
  <si>
    <t>Soporte Con Brazo Articulado para Tv 37-80 Pulgadas o Similares</t>
  </si>
  <si>
    <t>Soporte con brazo articulado compatible con televisor de 770 pulgadas.</t>
  </si>
  <si>
    <t>Multimarca</t>
  </si>
  <si>
    <t>tripode</t>
  </si>
  <si>
    <t>PARA CÁMARA FOTOGRÁFICA</t>
  </si>
  <si>
    <t>KINGJOYBT860</t>
  </si>
  <si>
    <t>Base EMMTECNOLOGY Escualizable de Tijera para televisores de 37" a 70" Ref. ST-WTV-60EQ</t>
  </si>
  <si>
    <t>Medida VESA 60 x 40 de 32" a 70" Tornilleria Universal para diferentes tipos de televisores Soporte de facil instalacion en cualquier tipo de pared Logre obtener una inclinacion de 5º + 15º Soporte tijera permite tener mayor resistencia Para los televiores de Hemeroteca, Sala de Juntas y uno nuevo por instalar</t>
  </si>
  <si>
    <t>EMMTECNOLOGY</t>
  </si>
  <si>
    <t>Módulo de foco para cámara HERO8 Black</t>
  </si>
  <si>
    <t>GOPRO</t>
  </si>
  <si>
    <t>TRIPODE PARA CÁMARA CANON</t>
  </si>
  <si>
    <t>soporte</t>
  </si>
  <si>
    <t>BRAZO FLEXIGAS DOBLE H160
Soporte de montaje en escritorio para monitor dual Brazo de monitor giratorio de movimiento completo flexi para todo tipo de tv monitor 17''-27'', 4.4 a 19.8 Lb (2 kg a 9 kg) por brazo. VESA 75X75 ~ 100X100
Máximo nivel de flexibilidad de posicionamiento del monitor al escritorio. Sistema de cableado interno por el soporte.</t>
  </si>
  <si>
    <t>NB NORTH BAYOU</t>
  </si>
  <si>
    <t>MERGE SAS</t>
  </si>
  <si>
    <t>INGENIERIA DIGITAL</t>
  </si>
  <si>
    <t>% IVA</t>
  </si>
  <si>
    <t>VALOR IVA</t>
  </si>
  <si>
    <t>valor ppto</t>
  </si>
  <si>
    <t>si</t>
  </si>
  <si>
    <t>desierto</t>
  </si>
  <si>
    <t>pedir ratificación de precio</t>
  </si>
  <si>
    <t>Binoculares</t>
  </si>
  <si>
    <t>H2O 10x42</t>
  </si>
  <si>
    <t xml:space="preserve">Bushnell </t>
  </si>
  <si>
    <t>Telescopio</t>
  </si>
  <si>
    <t>VeoÂ HDÂ 20-60x80</t>
  </si>
  <si>
    <t>Vanguard</t>
  </si>
  <si>
    <t>Grabadora</t>
  </si>
  <si>
    <t>H1n/120GL</t>
  </si>
  <si>
    <t>Zoom</t>
  </si>
  <si>
    <t xml:space="preserve">Memoria </t>
  </si>
  <si>
    <t>Extreme SDHC SDXC UHS-I Card 32 GB</t>
  </si>
  <si>
    <t>Sandisk</t>
  </si>
  <si>
    <t>Laser</t>
  </si>
  <si>
    <t>Punto verde</t>
  </si>
  <si>
    <t>NA</t>
  </si>
  <si>
    <t>Camara Fotografica</t>
  </si>
  <si>
    <t>SX70</t>
  </si>
  <si>
    <t>Canon</t>
  </si>
  <si>
    <t>Camara Trampa</t>
  </si>
  <si>
    <t xml:space="preserve">20 Megapixel IR Model H-1453 </t>
  </si>
  <si>
    <t>Cuddeback</t>
  </si>
  <si>
    <t>Tripode</t>
  </si>
  <si>
    <t>VestaÂ 234TP</t>
  </si>
  <si>
    <t>INVITACIÓN PUBLICA BS-34-DE 2022 
Compra de equipos audiovisuales, tripodes, bases o soportes.</t>
  </si>
  <si>
    <t>MERGE</t>
  </si>
  <si>
    <t>INGNIERIA DIGITAL</t>
  </si>
  <si>
    <t>TECNIKAN</t>
  </si>
  <si>
    <t>Video Proyector Powerlite W52+</t>
  </si>
  <si>
    <t>V11HA02021</t>
  </si>
  <si>
    <t>Epson</t>
  </si>
  <si>
    <t>Camaras Web</t>
  </si>
  <si>
    <t>Camara Web LOGITECH HD Pro C920S</t>
  </si>
  <si>
    <t>LOGITECH</t>
  </si>
  <si>
    <t>GTI</t>
  </si>
  <si>
    <t>NO CUMPLE</t>
  </si>
  <si>
    <t>PPTO ASIGNADO</t>
  </si>
  <si>
    <t>no cumple</t>
  </si>
  <si>
    <t>DESIERTOS</t>
  </si>
  <si>
    <t>1,2,3,4,5,6,7,8,9,10,15,17,21,22,23,26,29,30,31</t>
  </si>
  <si>
    <t>INGENIERIA DIGITAL SERVICE SAS</t>
  </si>
  <si>
    <t>11,16,18,20,24,27,28</t>
  </si>
  <si>
    <t>INGENIERIA DIGITAL SERVICE</t>
  </si>
  <si>
    <t>TECNIIKAN S.A.S.</t>
  </si>
  <si>
    <t>1,2,3,4,5,6,8</t>
  </si>
  <si>
    <t>7</t>
  </si>
  <si>
    <t>ALBERTO ALVAREZ LÓPEZ GTI</t>
  </si>
  <si>
    <t>1 y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</si>
</sst>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\ * #,##0.00_);_(&quot;$&quot;\ * \(#,##0.00\);_(&quot;$&quot;\ * &quot;-&quot;??_);_(@_)"/>
    <numFmt numFmtId="164" formatCode="_(&quot;$&quot;\ * #,##0_);_(&quot;$&quot;\ * \(#,##0\);_(&quot;$&quot;\ * &quot;-&quot;??_);_(@_)"/>
    <numFmt numFmtId="165" formatCode="&quot;$&quot;\ #,##0.00"/>
    <numFmt numFmtId="166" formatCode="_-&quot;$&quot;\ * #,##0.00_-;\-&quot;$&quot;\ * #,##0.00_-;_-&quot;$&quot;\ * &quot;-&quot;??_-;_-@_-"/>
    <numFmt numFmtId="167" formatCode="_-&quot;$&quot;\ * #,##0_-;\-&quot;$&quot;\ * #,##0_-;_-&quot;$&quot;\ * &quot;-&quot;??_-;_-@_-"/>
    <numFmt numFmtId="168" formatCode="&quot;$&quot;\ #,##0;[Red]&quot;$&quot;\ #,##0"/>
    <numFmt numFmtId="169" formatCode="_-[$$-240A]\ * #,##0_-;\-[$$-240A]\ * #,##0_-;_-[$$-240A]\ * &quot;-&quot;??_-;_-@_-"/>
    <numFmt numFmtId="170" formatCode="&quot;$&quot;#,##0"/>
  </numFmts>
  <fonts count="37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18"/>
      <color theme="3"/>
      <name val="Calibri"/>
      <family val="2"/>
      <scheme val="major"/>
    </font>
    <font>
      <b/>
      <sz val="10"/>
      <color rgb="FF000000"/>
      <name val="Arial"/>
      <family val="2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name val="Calibri"/>
      <family val="2"/>
      <scheme val="major"/>
    </font>
    <font>
      <sz val="7"/>
      <name val="Comfortaa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0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0" fontId="3" fillId="0" borderId="1"/>
    <xf numFmtId="0" fontId="5" fillId="0" borderId="6" applyNumberFormat="0" applyFill="0" applyAlignment="0" applyProtection="0"/>
    <xf numFmtId="0" fontId="6" fillId="0" borderId="7" applyNumberFormat="0" applyFill="0" applyAlignment="0" applyProtection="0"/>
    <xf numFmtId="0" fontId="7" fillId="0" borderId="8" applyNumberFormat="0" applyFill="0" applyAlignment="0" applyProtection="0"/>
    <xf numFmtId="0" fontId="11" fillId="7" borderId="9" applyNumberFormat="0" applyAlignment="0" applyProtection="0"/>
    <xf numFmtId="0" fontId="12" fillId="8" borderId="10" applyNumberFormat="0" applyAlignment="0" applyProtection="0"/>
    <xf numFmtId="0" fontId="13" fillId="8" borderId="9" applyNumberFormat="0" applyAlignment="0" applyProtection="0"/>
    <xf numFmtId="0" fontId="14" fillId="0" borderId="11" applyNumberFormat="0" applyFill="0" applyAlignment="0" applyProtection="0"/>
    <xf numFmtId="0" fontId="15" fillId="9" borderId="12" applyNumberFormat="0" applyAlignment="0" applyProtection="0"/>
    <xf numFmtId="0" fontId="18" fillId="0" borderId="14" applyNumberFormat="0" applyFill="0" applyAlignment="0" applyProtection="0"/>
    <xf numFmtId="0" fontId="2" fillId="0" borderId="1"/>
    <xf numFmtId="44" fontId="2" fillId="0" borderId="1" applyFont="0" applyFill="0" applyBorder="0" applyAlignment="0" applyProtection="0"/>
    <xf numFmtId="0" fontId="4" fillId="0" borderId="1" applyNumberFormat="0" applyFill="0" applyBorder="0" applyAlignment="0" applyProtection="0"/>
    <xf numFmtId="0" fontId="7" fillId="0" borderId="1" applyNumberFormat="0" applyFill="0" applyBorder="0" applyAlignment="0" applyProtection="0"/>
    <xf numFmtId="0" fontId="8" fillId="4" borderId="1" applyNumberFormat="0" applyBorder="0" applyAlignment="0" applyProtection="0"/>
    <xf numFmtId="0" fontId="9" fillId="5" borderId="1" applyNumberFormat="0" applyBorder="0" applyAlignment="0" applyProtection="0"/>
    <xf numFmtId="0" fontId="10" fillId="6" borderId="1" applyNumberFormat="0" applyBorder="0" applyAlignment="0" applyProtection="0"/>
    <xf numFmtId="0" fontId="16" fillId="0" borderId="1" applyNumberFormat="0" applyFill="0" applyBorder="0" applyAlignment="0" applyProtection="0"/>
    <xf numFmtId="0" fontId="2" fillId="10" borderId="13" applyNumberFormat="0" applyFont="0" applyAlignment="0" applyProtection="0"/>
    <xf numFmtId="0" fontId="17" fillId="0" borderId="1" applyNumberFormat="0" applyFill="0" applyBorder="0" applyAlignment="0" applyProtection="0"/>
    <xf numFmtId="0" fontId="19" fillId="11" borderId="1" applyNumberFormat="0" applyBorder="0" applyAlignment="0" applyProtection="0"/>
    <xf numFmtId="0" fontId="2" fillId="12" borderId="1" applyNumberFormat="0" applyBorder="0" applyAlignment="0" applyProtection="0"/>
    <xf numFmtId="0" fontId="2" fillId="13" borderId="1" applyNumberFormat="0" applyBorder="0" applyAlignment="0" applyProtection="0"/>
    <xf numFmtId="0" fontId="19" fillId="14" borderId="1" applyNumberFormat="0" applyBorder="0" applyAlignment="0" applyProtection="0"/>
    <xf numFmtId="0" fontId="19" fillId="15" borderId="1" applyNumberFormat="0" applyBorder="0" applyAlignment="0" applyProtection="0"/>
    <xf numFmtId="0" fontId="2" fillId="16" borderId="1" applyNumberFormat="0" applyBorder="0" applyAlignment="0" applyProtection="0"/>
    <xf numFmtId="0" fontId="2" fillId="17" borderId="1" applyNumberFormat="0" applyBorder="0" applyAlignment="0" applyProtection="0"/>
    <xf numFmtId="0" fontId="19" fillId="18" borderId="1" applyNumberFormat="0" applyBorder="0" applyAlignment="0" applyProtection="0"/>
    <xf numFmtId="0" fontId="19" fillId="19" borderId="1" applyNumberFormat="0" applyBorder="0" applyAlignment="0" applyProtection="0"/>
    <xf numFmtId="0" fontId="2" fillId="20" borderId="1" applyNumberFormat="0" applyBorder="0" applyAlignment="0" applyProtection="0"/>
    <xf numFmtId="0" fontId="2" fillId="21" borderId="1" applyNumberFormat="0" applyBorder="0" applyAlignment="0" applyProtection="0"/>
    <xf numFmtId="0" fontId="19" fillId="22" borderId="1" applyNumberFormat="0" applyBorder="0" applyAlignment="0" applyProtection="0"/>
    <xf numFmtId="0" fontId="19" fillId="23" borderId="1" applyNumberFormat="0" applyBorder="0" applyAlignment="0" applyProtection="0"/>
    <xf numFmtId="0" fontId="2" fillId="24" borderId="1" applyNumberFormat="0" applyBorder="0" applyAlignment="0" applyProtection="0"/>
    <xf numFmtId="0" fontId="2" fillId="25" borderId="1" applyNumberFormat="0" applyBorder="0" applyAlignment="0" applyProtection="0"/>
    <xf numFmtId="0" fontId="19" fillId="26" borderId="1" applyNumberFormat="0" applyBorder="0" applyAlignment="0" applyProtection="0"/>
    <xf numFmtId="0" fontId="19" fillId="27" borderId="1" applyNumberFormat="0" applyBorder="0" applyAlignment="0" applyProtection="0"/>
    <xf numFmtId="0" fontId="2" fillId="28" borderId="1" applyNumberFormat="0" applyBorder="0" applyAlignment="0" applyProtection="0"/>
    <xf numFmtId="0" fontId="2" fillId="29" borderId="1" applyNumberFormat="0" applyBorder="0" applyAlignment="0" applyProtection="0"/>
    <xf numFmtId="0" fontId="19" fillId="30" borderId="1" applyNumberFormat="0" applyBorder="0" applyAlignment="0" applyProtection="0"/>
    <xf numFmtId="0" fontId="19" fillId="31" borderId="1" applyNumberFormat="0" applyBorder="0" applyAlignment="0" applyProtection="0"/>
    <xf numFmtId="0" fontId="2" fillId="32" borderId="1" applyNumberFormat="0" applyBorder="0" applyAlignment="0" applyProtection="0"/>
    <xf numFmtId="0" fontId="2" fillId="33" borderId="1" applyNumberFormat="0" applyBorder="0" applyAlignment="0" applyProtection="0"/>
    <xf numFmtId="0" fontId="19" fillId="34" borderId="1" applyNumberFormat="0" applyBorder="0" applyAlignment="0" applyProtection="0"/>
    <xf numFmtId="44" fontId="20" fillId="0" borderId="0" applyFont="0" applyFill="0" applyBorder="0" applyAlignment="0" applyProtection="0"/>
    <xf numFmtId="0" fontId="1" fillId="0" borderId="1"/>
    <xf numFmtId="0" fontId="27" fillId="0" borderId="1" applyNumberFormat="0" applyFill="0" applyBorder="0" applyAlignment="0" applyProtection="0"/>
    <xf numFmtId="0" fontId="8" fillId="4" borderId="1" applyNumberFormat="0" applyBorder="0" applyAlignment="0" applyProtection="0"/>
    <xf numFmtId="0" fontId="1" fillId="10" borderId="13" applyNumberFormat="0" applyFont="0" applyAlignment="0" applyProtection="0"/>
    <xf numFmtId="0" fontId="1" fillId="12" borderId="1" applyNumberFormat="0" applyBorder="0" applyAlignment="0" applyProtection="0"/>
    <xf numFmtId="0" fontId="1" fillId="13" borderId="1" applyNumberFormat="0" applyBorder="0" applyAlignment="0" applyProtection="0"/>
    <xf numFmtId="0" fontId="1" fillId="16" borderId="1" applyNumberFormat="0" applyBorder="0" applyAlignment="0" applyProtection="0"/>
    <xf numFmtId="0" fontId="1" fillId="17" borderId="1" applyNumberFormat="0" applyBorder="0" applyAlignment="0" applyProtection="0"/>
    <xf numFmtId="0" fontId="1" fillId="20" borderId="1" applyNumberFormat="0" applyBorder="0" applyAlignment="0" applyProtection="0"/>
    <xf numFmtId="0" fontId="1" fillId="21" borderId="1" applyNumberFormat="0" applyBorder="0" applyAlignment="0" applyProtection="0"/>
    <xf numFmtId="0" fontId="1" fillId="24" borderId="1" applyNumberFormat="0" applyBorder="0" applyAlignment="0" applyProtection="0"/>
    <xf numFmtId="0" fontId="1" fillId="25" borderId="1" applyNumberFormat="0" applyBorder="0" applyAlignment="0" applyProtection="0"/>
    <xf numFmtId="0" fontId="1" fillId="28" borderId="1" applyNumberFormat="0" applyBorder="0" applyAlignment="0" applyProtection="0"/>
    <xf numFmtId="0" fontId="1" fillId="29" borderId="1" applyNumberFormat="0" applyBorder="0" applyAlignment="0" applyProtection="0"/>
    <xf numFmtId="0" fontId="1" fillId="32" borderId="1" applyNumberFormat="0" applyBorder="0" applyAlignment="0" applyProtection="0"/>
    <xf numFmtId="0" fontId="1" fillId="33" borderId="1" applyNumberFormat="0" applyBorder="0" applyAlignment="0" applyProtection="0"/>
    <xf numFmtId="166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9" fontId="35" fillId="0" borderId="0" applyFont="0" applyFill="0" applyBorder="0" applyAlignment="0" applyProtection="0"/>
  </cellStyleXfs>
  <cellXfs count="93">
    <xf numFmtId="0" fontId="0" fillId="0" borderId="0" xfId="0" applyFont="1" applyAlignment="1"/>
    <xf numFmtId="0" fontId="20" fillId="0" borderId="2" xfId="0" applyFont="1" applyBorder="1" applyAlignment="1"/>
    <xf numFmtId="0" fontId="20" fillId="0" borderId="2" xfId="0" applyFont="1" applyBorder="1" applyAlignment="1">
      <alignment horizontal="center" vertical="center"/>
    </xf>
    <xf numFmtId="164" fontId="0" fillId="0" borderId="2" xfId="45" applyNumberFormat="1" applyFont="1" applyBorder="1" applyAlignment="1"/>
    <xf numFmtId="0" fontId="24" fillId="0" borderId="0" xfId="0" applyFont="1" applyAlignment="1"/>
    <xf numFmtId="0" fontId="25" fillId="2" borderId="0" xfId="0" applyFont="1" applyFill="1" applyProtection="1">
      <protection locked="0"/>
    </xf>
    <xf numFmtId="0" fontId="23" fillId="3" borderId="2" xfId="0" applyFont="1" applyFill="1" applyBorder="1" applyAlignment="1" applyProtection="1">
      <alignment horizontal="center" vertical="center" wrapText="1"/>
    </xf>
    <xf numFmtId="0" fontId="23" fillId="3" borderId="3" xfId="0" applyFont="1" applyFill="1" applyBorder="1" applyAlignment="1" applyProtection="1">
      <alignment horizontal="center" vertical="center" wrapText="1"/>
    </xf>
    <xf numFmtId="3" fontId="23" fillId="36" borderId="3" xfId="0" applyNumberFormat="1" applyFont="1" applyFill="1" applyBorder="1" applyAlignment="1" applyProtection="1">
      <alignment horizontal="center" vertical="center" wrapText="1"/>
      <protection locked="0"/>
    </xf>
    <xf numFmtId="3" fontId="23" fillId="36" borderId="2" xfId="0" applyNumberFormat="1" applyFont="1" applyFill="1" applyBorder="1" applyAlignment="1" applyProtection="1">
      <alignment horizontal="center" vertical="center" wrapText="1"/>
      <protection locked="0"/>
    </xf>
    <xf numFmtId="3" fontId="23" fillId="35" borderId="3" xfId="0" applyNumberFormat="1" applyFont="1" applyFill="1" applyBorder="1" applyAlignment="1" applyProtection="1">
      <alignment horizontal="center" vertical="center" wrapText="1"/>
      <protection locked="0"/>
    </xf>
    <xf numFmtId="3" fontId="23" fillId="35" borderId="2" xfId="0" applyNumberFormat="1" applyFont="1" applyFill="1" applyBorder="1" applyAlignment="1" applyProtection="1">
      <alignment horizontal="center" vertical="center" wrapText="1"/>
      <protection locked="0"/>
    </xf>
    <xf numFmtId="3" fontId="23" fillId="37" borderId="3" xfId="0" applyNumberFormat="1" applyFont="1" applyFill="1" applyBorder="1" applyAlignment="1" applyProtection="1">
      <alignment horizontal="center" vertical="center" wrapText="1"/>
      <protection locked="0"/>
    </xf>
    <xf numFmtId="3" fontId="23" fillId="37" borderId="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/>
    <xf numFmtId="164" fontId="24" fillId="0" borderId="2" xfId="45" applyNumberFormat="1" applyFont="1" applyBorder="1" applyAlignment="1">
      <alignment horizontal="center" vertical="center"/>
    </xf>
    <xf numFmtId="0" fontId="24" fillId="36" borderId="2" xfId="0" applyFont="1" applyFill="1" applyBorder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0" fontId="24" fillId="0" borderId="1" xfId="0" applyFont="1" applyBorder="1" applyAlignment="1"/>
    <xf numFmtId="0" fontId="24" fillId="0" borderId="0" xfId="0" applyFont="1" applyAlignment="1">
      <alignment horizontal="left" wrapText="1"/>
    </xf>
    <xf numFmtId="165" fontId="22" fillId="0" borderId="2" xfId="0" applyNumberFormat="1" applyFont="1" applyBorder="1" applyAlignment="1">
      <alignment horizontal="center" vertical="center" wrapText="1"/>
    </xf>
    <xf numFmtId="44" fontId="24" fillId="0" borderId="2" xfId="45" applyNumberFormat="1" applyFont="1" applyBorder="1" applyAlignment="1">
      <alignment horizontal="center" vertical="center"/>
    </xf>
    <xf numFmtId="0" fontId="24" fillId="0" borderId="0" xfId="0" applyFont="1" applyAlignment="1">
      <alignment horizontal="left" wrapText="1"/>
    </xf>
    <xf numFmtId="3" fontId="23" fillId="36" borderId="3" xfId="0" applyNumberFormat="1" applyFont="1" applyFill="1" applyBorder="1" applyAlignment="1" applyProtection="1">
      <alignment horizontal="center" vertical="center" wrapText="1"/>
      <protection locked="0"/>
    </xf>
    <xf numFmtId="164" fontId="24" fillId="38" borderId="2" xfId="45" applyNumberFormat="1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168" fontId="22" fillId="0" borderId="2" xfId="0" applyNumberFormat="1" applyFont="1" applyBorder="1" applyAlignment="1">
      <alignment vertical="top" wrapText="1"/>
    </xf>
    <xf numFmtId="168" fontId="22" fillId="0" borderId="2" xfId="0" applyNumberFormat="1" applyFont="1" applyBorder="1" applyAlignment="1">
      <alignment horizontal="center" vertical="center" wrapText="1"/>
    </xf>
    <xf numFmtId="167" fontId="22" fillId="0" borderId="2" xfId="45" applyNumberFormat="1" applyFont="1" applyBorder="1"/>
    <xf numFmtId="167" fontId="22" fillId="0" borderId="2" xfId="45" applyNumberFormat="1" applyFont="1" applyBorder="1" applyAlignment="1">
      <alignment horizontal="center" vertical="center"/>
    </xf>
    <xf numFmtId="169" fontId="22" fillId="0" borderId="2" xfId="45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3" fillId="2" borderId="0" xfId="0" applyFont="1" applyFill="1" applyAlignment="1" applyProtection="1">
      <alignment horizontal="center"/>
      <protection locked="0"/>
    </xf>
    <xf numFmtId="0" fontId="23" fillId="2" borderId="0" xfId="0" applyFont="1" applyFill="1" applyAlignment="1" applyProtection="1">
      <alignment horizontal="center" vertical="center" wrapText="1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20" fillId="0" borderId="0" xfId="0" applyFont="1" applyAlignment="1"/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164" fontId="24" fillId="36" borderId="2" xfId="45" applyNumberFormat="1" applyFont="1" applyFill="1" applyBorder="1" applyAlignment="1">
      <alignment horizontal="center" vertical="center"/>
    </xf>
    <xf numFmtId="164" fontId="24" fillId="35" borderId="2" xfId="45" applyNumberFormat="1" applyFont="1" applyFill="1" applyBorder="1" applyAlignment="1">
      <alignment horizontal="center" vertical="center"/>
    </xf>
    <xf numFmtId="164" fontId="21" fillId="0" borderId="2" xfId="45" applyNumberFormat="1" applyFont="1" applyBorder="1" applyAlignment="1"/>
    <xf numFmtId="44" fontId="24" fillId="0" borderId="0" xfId="0" applyNumberFormat="1" applyFont="1" applyAlignment="1"/>
    <xf numFmtId="49" fontId="20" fillId="0" borderId="2" xfId="45" applyNumberFormat="1" applyFont="1" applyBorder="1" applyAlignment="1">
      <alignment horizontal="center"/>
    </xf>
    <xf numFmtId="164" fontId="28" fillId="0" borderId="0" xfId="0" applyNumberFormat="1" applyFont="1" applyAlignment="1">
      <alignment horizontal="center" vertical="center"/>
    </xf>
    <xf numFmtId="164" fontId="21" fillId="0" borderId="0" xfId="0" applyNumberFormat="1" applyFont="1" applyAlignment="1"/>
    <xf numFmtId="3" fontId="23" fillId="36" borderId="3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0" fillId="39" borderId="2" xfId="0" applyFont="1" applyFill="1" applyBorder="1" applyAlignment="1">
      <alignment horizontal="center" vertical="center" wrapText="1"/>
    </xf>
    <xf numFmtId="0" fontId="31" fillId="39" borderId="2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170" fontId="30" fillId="39" borderId="2" xfId="0" applyNumberFormat="1" applyFont="1" applyFill="1" applyBorder="1" applyAlignment="1">
      <alignment horizontal="center" vertical="center" wrapText="1"/>
    </xf>
    <xf numFmtId="164" fontId="24" fillId="0" borderId="2" xfId="45" applyNumberFormat="1" applyFont="1" applyBorder="1" applyAlignment="1">
      <alignment vertical="center"/>
    </xf>
    <xf numFmtId="0" fontId="24" fillId="41" borderId="2" xfId="0" applyFont="1" applyFill="1" applyBorder="1" applyAlignment="1">
      <alignment horizontal="center" vertical="center"/>
    </xf>
    <xf numFmtId="0" fontId="24" fillId="42" borderId="0" xfId="0" applyFont="1" applyFill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2" fillId="2" borderId="17" xfId="0" applyFont="1" applyFill="1" applyBorder="1" applyAlignment="1">
      <alignment horizontal="center" vertical="center" wrapText="1"/>
    </xf>
    <xf numFmtId="0" fontId="33" fillId="2" borderId="17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164" fontId="20" fillId="0" borderId="2" xfId="45" applyNumberFormat="1" applyFont="1" applyBorder="1" applyAlignment="1">
      <alignment vertical="center" wrapText="1"/>
    </xf>
    <xf numFmtId="0" fontId="24" fillId="2" borderId="0" xfId="0" applyFont="1" applyFill="1" applyAlignment="1"/>
    <xf numFmtId="0" fontId="24" fillId="2" borderId="2" xfId="0" applyFont="1" applyFill="1" applyBorder="1" applyAlignment="1">
      <alignment horizontal="center" vertical="center"/>
    </xf>
    <xf numFmtId="0" fontId="24" fillId="2" borderId="1" xfId="0" applyFont="1" applyFill="1" applyBorder="1" applyAlignment="1"/>
    <xf numFmtId="0" fontId="3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3" fillId="2" borderId="0" xfId="0" applyFont="1" applyFill="1" applyAlignment="1" applyProtection="1">
      <alignment horizontal="center"/>
      <protection locked="0"/>
    </xf>
    <xf numFmtId="0" fontId="23" fillId="2" borderId="0" xfId="0" applyFont="1" applyFill="1" applyAlignment="1" applyProtection="1">
      <alignment horizontal="center" vertical="center" wrapText="1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164" fontId="24" fillId="40" borderId="2" xfId="45" applyNumberFormat="1" applyFont="1" applyFill="1" applyBorder="1" applyAlignment="1">
      <alignment horizontal="center" vertical="center"/>
    </xf>
    <xf numFmtId="0" fontId="24" fillId="40" borderId="0" xfId="0" applyFont="1" applyFill="1" applyAlignment="1">
      <alignment horizontal="center" vertical="center" wrapText="1"/>
    </xf>
    <xf numFmtId="164" fontId="24" fillId="43" borderId="2" xfId="45" applyNumberFormat="1" applyFont="1" applyFill="1" applyBorder="1" applyAlignment="1">
      <alignment horizontal="center" vertical="center"/>
    </xf>
    <xf numFmtId="0" fontId="24" fillId="43" borderId="0" xfId="0" applyFont="1" applyFill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9" fontId="22" fillId="0" borderId="2" xfId="64" applyFont="1" applyBorder="1" applyAlignment="1">
      <alignment horizontal="center" vertical="center" wrapText="1"/>
    </xf>
    <xf numFmtId="167" fontId="22" fillId="35" borderId="2" xfId="62" applyNumberFormat="1" applyFont="1" applyFill="1" applyBorder="1" applyAlignment="1">
      <alignment horizontal="center" vertical="center" wrapText="1"/>
    </xf>
    <xf numFmtId="164" fontId="20" fillId="0" borderId="2" xfId="45" applyNumberFormat="1" applyFont="1" applyBorder="1" applyAlignment="1">
      <alignment horizontal="center"/>
    </xf>
    <xf numFmtId="164" fontId="24" fillId="0" borderId="0" xfId="0" applyNumberFormat="1" applyFont="1" applyAlignment="1"/>
    <xf numFmtId="0" fontId="24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/>
    </xf>
    <xf numFmtId="0" fontId="24" fillId="0" borderId="0" xfId="0" applyFont="1" applyAlignment="1">
      <alignment horizontal="left" wrapText="1"/>
    </xf>
    <xf numFmtId="0" fontId="23" fillId="2" borderId="0" xfId="0" applyFont="1" applyFill="1" applyAlignment="1" applyProtection="1">
      <alignment horizontal="center"/>
      <protection locked="0"/>
    </xf>
    <xf numFmtId="0" fontId="23" fillId="2" borderId="0" xfId="0" applyFont="1" applyFill="1" applyAlignment="1" applyProtection="1">
      <alignment horizontal="center" vertical="center" wrapText="1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3" fontId="23" fillId="36" borderId="16" xfId="0" applyNumberFormat="1" applyFont="1" applyFill="1" applyBorder="1" applyAlignment="1" applyProtection="1">
      <alignment horizontal="center" vertical="center" wrapText="1"/>
      <protection locked="0"/>
    </xf>
    <xf numFmtId="3" fontId="23" fillId="36" borderId="4" xfId="0" applyNumberFormat="1" applyFont="1" applyFill="1" applyBorder="1" applyAlignment="1" applyProtection="1">
      <alignment horizontal="center" vertical="center" wrapText="1"/>
      <protection locked="0"/>
    </xf>
    <xf numFmtId="3" fontId="23" fillId="36" borderId="3" xfId="0" applyNumberFormat="1" applyFont="1" applyFill="1" applyBorder="1" applyAlignment="1" applyProtection="1">
      <alignment horizontal="center" vertical="center" wrapText="1"/>
      <protection locked="0"/>
    </xf>
    <xf numFmtId="3" fontId="23" fillId="35" borderId="15" xfId="0" applyNumberFormat="1" applyFont="1" applyFill="1" applyBorder="1" applyAlignment="1" applyProtection="1">
      <alignment horizontal="center" vertical="center" wrapText="1"/>
      <protection locked="0"/>
    </xf>
    <xf numFmtId="3" fontId="23" fillId="35" borderId="5" xfId="0" applyNumberFormat="1" applyFont="1" applyFill="1" applyBorder="1" applyAlignment="1" applyProtection="1">
      <alignment horizontal="center" vertical="center" wrapText="1"/>
      <protection locked="0"/>
    </xf>
    <xf numFmtId="3" fontId="23" fillId="37" borderId="5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left" vertical="top" wrapText="1"/>
    </xf>
  </cellXfs>
  <cellStyles count="65">
    <cellStyle name="20% - Énfasis1 2" xfId="22"/>
    <cellStyle name="20% - Énfasis1 3" xfId="50"/>
    <cellStyle name="20% - Énfasis2 2" xfId="26"/>
    <cellStyle name="20% - Énfasis2 3" xfId="52"/>
    <cellStyle name="20% - Énfasis3 2" xfId="30"/>
    <cellStyle name="20% - Énfasis3 3" xfId="54"/>
    <cellStyle name="20% - Énfasis4 2" xfId="34"/>
    <cellStyle name="20% - Énfasis4 3" xfId="56"/>
    <cellStyle name="20% - Énfasis5 2" xfId="38"/>
    <cellStyle name="20% - Énfasis5 3" xfId="58"/>
    <cellStyle name="20% - Énfasis6 2" xfId="42"/>
    <cellStyle name="20% - Énfasis6 3" xfId="60"/>
    <cellStyle name="40% - Énfasis1 2" xfId="23"/>
    <cellStyle name="40% - Énfasis1 3" xfId="51"/>
    <cellStyle name="40% - Énfasis2 2" xfId="27"/>
    <cellStyle name="40% - Énfasis2 3" xfId="53"/>
    <cellStyle name="40% - Énfasis3 2" xfId="31"/>
    <cellStyle name="40% - Énfasis3 3" xfId="55"/>
    <cellStyle name="40% - Énfasis4 2" xfId="35"/>
    <cellStyle name="40% - Énfasis4 3" xfId="57"/>
    <cellStyle name="40% - Énfasis5 2" xfId="39"/>
    <cellStyle name="40% - Énfasis5 3" xfId="59"/>
    <cellStyle name="40% - Énfasis6 2" xfId="43"/>
    <cellStyle name="40% - Énfasis6 3" xfId="61"/>
    <cellStyle name="60% - Énfasis1 2" xfId="24"/>
    <cellStyle name="60% - Énfasis2 2" xfId="28"/>
    <cellStyle name="60% - Énfasis3 2" xfId="32"/>
    <cellStyle name="60% - Énfasis4 2" xfId="36"/>
    <cellStyle name="60% - Énfasis5 2" xfId="40"/>
    <cellStyle name="60% - Énfasis6 2" xfId="44"/>
    <cellStyle name="Buena 2" xfId="15"/>
    <cellStyle name="Bueno 2" xfId="48"/>
    <cellStyle name="Cálculo" xfId="7" builtinId="22" customBuiltin="1"/>
    <cellStyle name="Celda de comprobación" xfId="9" builtinId="23" customBuiltin="1"/>
    <cellStyle name="Celda vinculada" xfId="8" builtinId="24" customBuiltin="1"/>
    <cellStyle name="Encabezado 1" xfId="2" builtinId="16" customBuiltin="1"/>
    <cellStyle name="Encabezado 4 2" xfId="14"/>
    <cellStyle name="Énfasis1 2" xfId="21"/>
    <cellStyle name="Énfasis2 2" xfId="25"/>
    <cellStyle name="Énfasis3 2" xfId="29"/>
    <cellStyle name="Énfasis4 2" xfId="33"/>
    <cellStyle name="Énfasis5 2" xfId="37"/>
    <cellStyle name="Énfasis6 2" xfId="41"/>
    <cellStyle name="Entrada" xfId="5" builtinId="20" customBuiltin="1"/>
    <cellStyle name="Excel Built-in Normal" xfId="1"/>
    <cellStyle name="Incorrecto 2" xfId="16"/>
    <cellStyle name="Moneda" xfId="45" builtinId="4"/>
    <cellStyle name="Moneda 2" xfId="12"/>
    <cellStyle name="Moneda 3" xfId="62"/>
    <cellStyle name="Neutral 2" xfId="17"/>
    <cellStyle name="Normal" xfId="0" builtinId="0"/>
    <cellStyle name="Normal 2" xfId="11"/>
    <cellStyle name="Normal 3" xfId="46"/>
    <cellStyle name="Notas 2" xfId="19"/>
    <cellStyle name="Notas 3" xfId="49"/>
    <cellStyle name="Porcentaje" xfId="64" builtinId="5"/>
    <cellStyle name="Porcentaje 2" xfId="63"/>
    <cellStyle name="Salida" xfId="6" builtinId="21" customBuiltin="1"/>
    <cellStyle name="Texto de advertencia 2" xfId="18"/>
    <cellStyle name="Texto explicativo 2" xfId="20"/>
    <cellStyle name="Título 2" xfId="3" builtinId="17" customBuiltin="1"/>
    <cellStyle name="Título 3" xfId="4" builtinId="18" customBuiltin="1"/>
    <cellStyle name="Título 4" xfId="13"/>
    <cellStyle name="Título 5" xfId="47"/>
    <cellStyle name="Total" xfId="1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3"/>
  <sheetViews>
    <sheetView topLeftCell="A36" zoomScale="75" zoomScaleNormal="75" workbookViewId="0">
      <selection activeCell="AG54" sqref="AG54"/>
    </sheetView>
  </sheetViews>
  <sheetFormatPr baseColWidth="10" defaultRowHeight="11.25" x14ac:dyDescent="0.2"/>
  <cols>
    <col min="1" max="1" width="9" style="4" customWidth="1"/>
    <col min="2" max="2" width="27.7109375" style="4" bestFit="1" customWidth="1"/>
    <col min="3" max="3" width="38.85546875" style="4" customWidth="1"/>
    <col min="4" max="4" width="10.140625" style="4" bestFit="1" customWidth="1"/>
    <col min="5" max="5" width="14.140625" style="4" customWidth="1"/>
    <col min="6" max="6" width="11.5703125" style="4" customWidth="1"/>
    <col min="7" max="7" width="17" style="4" hidden="1" customWidth="1"/>
    <col min="8" max="8" width="13.85546875" style="4" bestFit="1" customWidth="1"/>
    <col min="9" max="9" width="13.85546875" style="4" customWidth="1"/>
    <col min="10" max="10" width="13.140625" style="4" bestFit="1" customWidth="1"/>
    <col min="11" max="11" width="13.7109375" style="4" customWidth="1"/>
    <col min="12" max="12" width="14.5703125" style="4" bestFit="1" customWidth="1"/>
    <col min="13" max="16" width="0" style="4" hidden="1" customWidth="1"/>
    <col min="17" max="17" width="11.42578125" style="4" hidden="1" customWidth="1"/>
    <col min="18" max="18" width="13.140625" style="4" bestFit="1" customWidth="1"/>
    <col min="19" max="19" width="13.140625" style="4" customWidth="1"/>
    <col min="20" max="20" width="12.5703125" style="4" bestFit="1" customWidth="1"/>
    <col min="21" max="21" width="13.7109375" style="4" bestFit="1" customWidth="1"/>
    <col min="22" max="22" width="14.85546875" style="4" bestFit="1" customWidth="1"/>
    <col min="23" max="31" width="0" style="4" hidden="1" customWidth="1"/>
    <col min="32" max="33" width="25" style="4" customWidth="1"/>
    <col min="34" max="34" width="27" style="4" customWidth="1"/>
    <col min="35" max="35" width="13.28515625" style="4" bestFit="1" customWidth="1"/>
    <col min="36" max="36" width="11.42578125" style="4"/>
    <col min="37" max="37" width="18.7109375" style="4" customWidth="1"/>
    <col min="38" max="16384" width="11.42578125" style="4"/>
  </cols>
  <sheetData>
    <row r="1" spans="1:37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33"/>
    </row>
    <row r="2" spans="1:37" ht="38.25" customHeight="1" x14ac:dyDescent="0.2">
      <c r="A2" s="83" t="s">
        <v>36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34"/>
    </row>
    <row r="3" spans="1:37" x14ac:dyDescent="0.2">
      <c r="A3" s="84" t="s">
        <v>24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35"/>
    </row>
    <row r="4" spans="1:37" x14ac:dyDescent="0.2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35"/>
    </row>
    <row r="5" spans="1:37" x14ac:dyDescent="0.2">
      <c r="A5" s="5"/>
      <c r="B5" s="5"/>
      <c r="C5" s="5"/>
      <c r="D5" s="5"/>
      <c r="E5" s="5"/>
      <c r="F5" s="5"/>
    </row>
    <row r="6" spans="1:37" ht="27" customHeight="1" x14ac:dyDescent="0.2">
      <c r="A6" s="5"/>
      <c r="B6" s="5"/>
      <c r="C6" s="5"/>
      <c r="D6" s="5"/>
      <c r="E6" s="5"/>
      <c r="F6" s="5"/>
      <c r="G6" s="85" t="s">
        <v>115</v>
      </c>
      <c r="H6" s="86"/>
      <c r="I6" s="86"/>
      <c r="J6" s="86"/>
      <c r="K6" s="86"/>
      <c r="L6" s="86"/>
      <c r="M6" s="86"/>
      <c r="N6" s="86"/>
      <c r="O6" s="86"/>
      <c r="P6" s="87"/>
      <c r="Q6" s="88" t="s">
        <v>116</v>
      </c>
      <c r="R6" s="89"/>
      <c r="S6" s="89"/>
      <c r="T6" s="89"/>
      <c r="U6" s="89"/>
      <c r="V6" s="89"/>
      <c r="W6" s="89"/>
      <c r="X6" s="89"/>
      <c r="Y6" s="89"/>
      <c r="Z6" s="89"/>
      <c r="AA6" s="90" t="s">
        <v>26</v>
      </c>
      <c r="AB6" s="90"/>
      <c r="AC6" s="90"/>
      <c r="AD6" s="90"/>
      <c r="AE6" s="90"/>
    </row>
    <row r="7" spans="1:37" ht="67.5" x14ac:dyDescent="0.2">
      <c r="A7" s="6" t="s">
        <v>25</v>
      </c>
      <c r="B7" s="6" t="s">
        <v>10</v>
      </c>
      <c r="C7" s="6" t="s">
        <v>1</v>
      </c>
      <c r="D7" s="6" t="s">
        <v>14</v>
      </c>
      <c r="E7" s="6" t="s">
        <v>2</v>
      </c>
      <c r="F7" s="7" t="s">
        <v>3</v>
      </c>
      <c r="G7" s="24" t="s">
        <v>4</v>
      </c>
      <c r="H7" s="24" t="s">
        <v>16</v>
      </c>
      <c r="I7" s="46" t="s">
        <v>117</v>
      </c>
      <c r="J7" s="24" t="s">
        <v>118</v>
      </c>
      <c r="K7" s="9" t="s">
        <v>5</v>
      </c>
      <c r="L7" s="9" t="s">
        <v>6</v>
      </c>
      <c r="M7" s="9" t="s">
        <v>7</v>
      </c>
      <c r="N7" s="9" t="s">
        <v>8</v>
      </c>
      <c r="O7" s="9" t="s">
        <v>12</v>
      </c>
      <c r="P7" s="9" t="s">
        <v>15</v>
      </c>
      <c r="Q7" s="10" t="s">
        <v>4</v>
      </c>
      <c r="R7" s="10" t="s">
        <v>16</v>
      </c>
      <c r="S7" s="10" t="s">
        <v>117</v>
      </c>
      <c r="T7" s="10" t="s">
        <v>17</v>
      </c>
      <c r="U7" s="11" t="s">
        <v>5</v>
      </c>
      <c r="V7" s="11" t="s">
        <v>6</v>
      </c>
      <c r="W7" s="11" t="s">
        <v>7</v>
      </c>
      <c r="X7" s="11" t="s">
        <v>8</v>
      </c>
      <c r="Y7" s="11" t="s">
        <v>12</v>
      </c>
      <c r="Z7" s="11" t="s">
        <v>15</v>
      </c>
      <c r="AA7" s="12" t="s">
        <v>4</v>
      </c>
      <c r="AB7" s="13" t="s">
        <v>7</v>
      </c>
      <c r="AC7" s="13" t="s">
        <v>8</v>
      </c>
      <c r="AD7" s="13" t="s">
        <v>12</v>
      </c>
      <c r="AE7" s="13" t="s">
        <v>15</v>
      </c>
      <c r="AF7" s="14" t="s">
        <v>18</v>
      </c>
      <c r="AG7" s="14" t="s">
        <v>33</v>
      </c>
      <c r="AH7" s="14" t="s">
        <v>19</v>
      </c>
      <c r="AI7" s="14" t="s">
        <v>158</v>
      </c>
    </row>
    <row r="8" spans="1:37" ht="132" x14ac:dyDescent="0.2">
      <c r="A8" s="6">
        <v>1</v>
      </c>
      <c r="B8" s="47" t="s">
        <v>37</v>
      </c>
      <c r="C8" s="47" t="s">
        <v>38</v>
      </c>
      <c r="D8" s="47" t="s">
        <v>39</v>
      </c>
      <c r="E8" s="47" t="s">
        <v>40</v>
      </c>
      <c r="F8" s="48">
        <v>4</v>
      </c>
      <c r="G8" s="15"/>
      <c r="H8" s="21">
        <v>2748000</v>
      </c>
      <c r="I8" s="21">
        <v>0.19</v>
      </c>
      <c r="J8" s="16">
        <v>522120</v>
      </c>
      <c r="K8" s="25">
        <v>3270120</v>
      </c>
      <c r="L8" s="39">
        <v>13080480</v>
      </c>
      <c r="M8" s="16"/>
      <c r="N8" s="16"/>
      <c r="O8" s="16"/>
      <c r="P8" s="16"/>
      <c r="Q8" s="16"/>
      <c r="R8" s="76">
        <v>2798250</v>
      </c>
      <c r="S8" s="75">
        <v>0.19</v>
      </c>
      <c r="T8" s="16">
        <v>531667.5</v>
      </c>
      <c r="U8" s="25">
        <v>3329917.5</v>
      </c>
      <c r="V8" s="40">
        <v>13319670</v>
      </c>
      <c r="W8" s="16"/>
      <c r="X8" s="16"/>
      <c r="Y8" s="16"/>
      <c r="Z8" s="16"/>
      <c r="AA8" s="16"/>
      <c r="AB8" s="15" t="s">
        <v>20</v>
      </c>
      <c r="AC8" s="15">
        <v>19</v>
      </c>
      <c r="AD8" s="15" t="s">
        <v>21</v>
      </c>
      <c r="AE8" s="15"/>
      <c r="AF8" s="16">
        <f>MIN(K8,U8)</f>
        <v>3270120</v>
      </c>
      <c r="AG8" s="22">
        <f t="shared" ref="AG8:AG38" si="0">AF8*F8</f>
        <v>13080480</v>
      </c>
      <c r="AH8" s="17" t="str">
        <f>IF(AF8=K8,$G$6,IF(AF8=U8,$Q$6))</f>
        <v>MERGE SAS</v>
      </c>
      <c r="AI8" s="16">
        <v>3629500</v>
      </c>
      <c r="AK8" s="4" t="s">
        <v>120</v>
      </c>
    </row>
    <row r="9" spans="1:37" ht="132" x14ac:dyDescent="0.2">
      <c r="A9" s="6">
        <v>2</v>
      </c>
      <c r="B9" s="49" t="s">
        <v>41</v>
      </c>
      <c r="C9" s="49" t="s">
        <v>42</v>
      </c>
      <c r="D9" s="47" t="s">
        <v>39</v>
      </c>
      <c r="E9" s="49" t="s">
        <v>40</v>
      </c>
      <c r="F9" s="49">
        <v>2</v>
      </c>
      <c r="G9" s="15"/>
      <c r="H9" s="21">
        <v>2748000</v>
      </c>
      <c r="I9" s="21">
        <v>0.19</v>
      </c>
      <c r="J9" s="16">
        <v>522120</v>
      </c>
      <c r="K9" s="25">
        <v>3270120</v>
      </c>
      <c r="L9" s="16">
        <v>6540240</v>
      </c>
      <c r="M9" s="16"/>
      <c r="N9" s="16"/>
      <c r="O9" s="16"/>
      <c r="P9" s="16"/>
      <c r="Q9" s="16"/>
      <c r="R9" s="76">
        <v>2798250</v>
      </c>
      <c r="S9" s="75">
        <v>0.19</v>
      </c>
      <c r="T9" s="16">
        <v>531667.5</v>
      </c>
      <c r="U9" s="25">
        <v>3329917.5</v>
      </c>
      <c r="V9" s="16">
        <v>6659835</v>
      </c>
      <c r="W9" s="16"/>
      <c r="X9" s="16"/>
      <c r="Y9" s="16"/>
      <c r="Z9" s="16"/>
      <c r="AA9" s="16"/>
      <c r="AB9" s="15"/>
      <c r="AC9" s="15"/>
      <c r="AD9" s="15"/>
      <c r="AE9" s="15"/>
      <c r="AF9" s="16">
        <f t="shared" ref="AF9:AF38" si="1">MIN(K9,U9)</f>
        <v>3270120</v>
      </c>
      <c r="AG9" s="22">
        <f t="shared" si="0"/>
        <v>6540240</v>
      </c>
      <c r="AH9" s="17" t="str">
        <f>IF(AF9=K9,$G$6,IF(AF9=U9,$Q$6,IF(AF9=#REF!,$AA$6)))</f>
        <v>MERGE SAS</v>
      </c>
      <c r="AI9" s="16">
        <v>3954828</v>
      </c>
      <c r="AK9" s="4" t="s">
        <v>120</v>
      </c>
    </row>
    <row r="10" spans="1:37" ht="74.25" customHeight="1" x14ac:dyDescent="0.2">
      <c r="A10" s="6">
        <v>3</v>
      </c>
      <c r="B10" s="49" t="s">
        <v>43</v>
      </c>
      <c r="C10" s="50" t="s">
        <v>44</v>
      </c>
      <c r="D10" s="47" t="s">
        <v>39</v>
      </c>
      <c r="E10" s="50" t="s">
        <v>45</v>
      </c>
      <c r="F10" s="49">
        <v>3</v>
      </c>
      <c r="G10" s="15"/>
      <c r="H10" s="21">
        <v>2700000</v>
      </c>
      <c r="I10" s="21">
        <v>0.19</v>
      </c>
      <c r="J10" s="16">
        <v>513000</v>
      </c>
      <c r="K10" s="25">
        <v>3213000</v>
      </c>
      <c r="L10" s="16">
        <v>9639000</v>
      </c>
      <c r="M10" s="16"/>
      <c r="N10" s="16"/>
      <c r="O10" s="16"/>
      <c r="P10" s="16"/>
      <c r="Q10" s="16"/>
      <c r="R10" s="76">
        <v>2860000</v>
      </c>
      <c r="S10" s="75">
        <v>0.19</v>
      </c>
      <c r="T10" s="16">
        <v>543400</v>
      </c>
      <c r="U10" s="25">
        <v>3403400</v>
      </c>
      <c r="V10" s="16">
        <v>10210200</v>
      </c>
      <c r="W10" s="16"/>
      <c r="X10" s="16"/>
      <c r="Y10" s="16"/>
      <c r="Z10" s="16"/>
      <c r="AA10" s="16"/>
      <c r="AB10" s="15"/>
      <c r="AC10" s="15"/>
      <c r="AD10" s="15"/>
      <c r="AE10" s="15"/>
      <c r="AF10" s="16">
        <f t="shared" si="1"/>
        <v>3213000</v>
      </c>
      <c r="AG10" s="22">
        <f t="shared" si="0"/>
        <v>9639000</v>
      </c>
      <c r="AH10" s="17" t="str">
        <f>IF(AF10=K10,$G$6,IF(AF10=U10,$Q$6,IF(AF10=#REF!,$AA$6)))</f>
        <v>MERGE SAS</v>
      </c>
      <c r="AI10" s="16">
        <v>3619980</v>
      </c>
      <c r="AK10" s="4" t="s">
        <v>120</v>
      </c>
    </row>
    <row r="11" spans="1:37" ht="92.25" customHeight="1" x14ac:dyDescent="0.2">
      <c r="A11" s="6">
        <v>4</v>
      </c>
      <c r="B11" s="49" t="s">
        <v>43</v>
      </c>
      <c r="C11" s="50" t="s">
        <v>44</v>
      </c>
      <c r="D11" s="47" t="s">
        <v>39</v>
      </c>
      <c r="E11" s="50" t="s">
        <v>45</v>
      </c>
      <c r="F11" s="49">
        <v>2</v>
      </c>
      <c r="G11" s="15"/>
      <c r="H11" s="21">
        <v>2700000</v>
      </c>
      <c r="I11" s="21">
        <v>0.19</v>
      </c>
      <c r="J11" s="16">
        <v>513000</v>
      </c>
      <c r="K11" s="25">
        <v>3213000</v>
      </c>
      <c r="L11" s="16">
        <v>6426000</v>
      </c>
      <c r="M11" s="16"/>
      <c r="N11" s="16"/>
      <c r="O11" s="16"/>
      <c r="P11" s="16"/>
      <c r="Q11" s="16"/>
      <c r="R11" s="76">
        <v>2860000</v>
      </c>
      <c r="S11" s="75">
        <v>0.19</v>
      </c>
      <c r="T11" s="16">
        <v>543400</v>
      </c>
      <c r="U11" s="25">
        <v>3403400</v>
      </c>
      <c r="V11" s="16">
        <v>6806800</v>
      </c>
      <c r="W11" s="16"/>
      <c r="X11" s="16"/>
      <c r="Y11" s="16"/>
      <c r="Z11" s="16"/>
      <c r="AA11" s="16"/>
      <c r="AB11" s="15"/>
      <c r="AC11" s="15"/>
      <c r="AD11" s="15"/>
      <c r="AE11" s="15"/>
      <c r="AF11" s="16">
        <f t="shared" si="1"/>
        <v>3213000</v>
      </c>
      <c r="AG11" s="22">
        <f t="shared" si="0"/>
        <v>6426000</v>
      </c>
      <c r="AH11" s="17" t="str">
        <f>IF(AF11=K11,$G$6,IF(AF11=U11,$Q$6,IF(AF11=#REF!,$AA$6)))</f>
        <v>MERGE SAS</v>
      </c>
      <c r="AI11" s="16">
        <v>3619980</v>
      </c>
      <c r="AK11" s="4" t="s">
        <v>120</v>
      </c>
    </row>
    <row r="12" spans="1:37" ht="72" x14ac:dyDescent="0.2">
      <c r="A12" s="6">
        <v>5</v>
      </c>
      <c r="B12" s="49" t="s">
        <v>46</v>
      </c>
      <c r="C12" s="50" t="s">
        <v>44</v>
      </c>
      <c r="D12" s="47" t="s">
        <v>39</v>
      </c>
      <c r="E12" s="49" t="s">
        <v>45</v>
      </c>
      <c r="F12" s="49">
        <v>2</v>
      </c>
      <c r="G12" s="15"/>
      <c r="H12" s="21">
        <v>2700000</v>
      </c>
      <c r="I12" s="21">
        <v>0.19</v>
      </c>
      <c r="J12" s="16">
        <v>513000</v>
      </c>
      <c r="K12" s="25">
        <v>3213000</v>
      </c>
      <c r="L12" s="16">
        <v>6426000</v>
      </c>
      <c r="M12" s="16"/>
      <c r="N12" s="16"/>
      <c r="O12" s="16"/>
      <c r="P12" s="16"/>
      <c r="Q12" s="16"/>
      <c r="R12" s="76">
        <v>2860000</v>
      </c>
      <c r="S12" s="75">
        <v>0.19</v>
      </c>
      <c r="T12" s="16">
        <v>543400</v>
      </c>
      <c r="U12" s="25">
        <v>3403400</v>
      </c>
      <c r="V12" s="16">
        <v>6806800</v>
      </c>
      <c r="W12" s="16"/>
      <c r="X12" s="16"/>
      <c r="Y12" s="16"/>
      <c r="Z12" s="16"/>
      <c r="AA12" s="16"/>
      <c r="AB12" s="15"/>
      <c r="AC12" s="15"/>
      <c r="AD12" s="15"/>
      <c r="AE12" s="15"/>
      <c r="AF12" s="16">
        <f t="shared" si="1"/>
        <v>3213000</v>
      </c>
      <c r="AG12" s="22">
        <f t="shared" si="0"/>
        <v>6426000</v>
      </c>
      <c r="AH12" s="17" t="str">
        <f>IF(AF12=K12,$G$6,IF(AF12=U12,$Q$6,IF(AF12=#REF!,$AA$6)))</f>
        <v>MERGE SAS</v>
      </c>
      <c r="AI12" s="16">
        <v>3432000</v>
      </c>
      <c r="AK12" s="4" t="s">
        <v>120</v>
      </c>
    </row>
    <row r="13" spans="1:37" ht="72" x14ac:dyDescent="0.2">
      <c r="A13" s="6">
        <v>6</v>
      </c>
      <c r="B13" s="49" t="s">
        <v>47</v>
      </c>
      <c r="C13" s="50" t="s">
        <v>44</v>
      </c>
      <c r="D13" s="47" t="s">
        <v>39</v>
      </c>
      <c r="E13" s="49" t="s">
        <v>45</v>
      </c>
      <c r="F13" s="49">
        <v>2</v>
      </c>
      <c r="G13" s="15"/>
      <c r="H13" s="21">
        <v>2700000</v>
      </c>
      <c r="I13" s="21">
        <v>0.19</v>
      </c>
      <c r="J13" s="16">
        <v>513000</v>
      </c>
      <c r="K13" s="25">
        <v>3213000</v>
      </c>
      <c r="L13" s="16">
        <v>6426000</v>
      </c>
      <c r="M13" s="16"/>
      <c r="N13" s="16"/>
      <c r="O13" s="16"/>
      <c r="P13" s="16"/>
      <c r="Q13" s="16"/>
      <c r="R13" s="76">
        <v>2860000</v>
      </c>
      <c r="S13" s="75">
        <v>0.19</v>
      </c>
      <c r="T13" s="16">
        <v>543400</v>
      </c>
      <c r="U13" s="25">
        <v>3403400</v>
      </c>
      <c r="V13" s="16">
        <v>6806800</v>
      </c>
      <c r="W13" s="16"/>
      <c r="X13" s="16"/>
      <c r="Y13" s="16"/>
      <c r="Z13" s="16"/>
      <c r="AA13" s="16"/>
      <c r="AB13" s="15"/>
      <c r="AC13" s="15"/>
      <c r="AD13" s="15"/>
      <c r="AE13" s="15"/>
      <c r="AF13" s="16">
        <f t="shared" si="1"/>
        <v>3213000</v>
      </c>
      <c r="AG13" s="22">
        <f t="shared" si="0"/>
        <v>6426000</v>
      </c>
      <c r="AH13" s="17" t="str">
        <f>IF(AF13=K13,$G$6,IF(AF13=U13,$Q$6,IF(AF13=#REF!,$AA$6)))</f>
        <v>MERGE SAS</v>
      </c>
      <c r="AI13" s="16">
        <v>3907365</v>
      </c>
      <c r="AK13" s="4" t="s">
        <v>120</v>
      </c>
    </row>
    <row r="14" spans="1:37" ht="144" x14ac:dyDescent="0.2">
      <c r="A14" s="6">
        <v>7</v>
      </c>
      <c r="B14" s="49" t="s">
        <v>48</v>
      </c>
      <c r="C14" s="49" t="s">
        <v>49</v>
      </c>
      <c r="D14" s="47" t="s">
        <v>39</v>
      </c>
      <c r="E14" s="49" t="s">
        <v>50</v>
      </c>
      <c r="F14" s="49">
        <v>4</v>
      </c>
      <c r="G14" s="15"/>
      <c r="H14" s="21">
        <v>3738570</v>
      </c>
      <c r="I14" s="21">
        <v>0.19</v>
      </c>
      <c r="J14" s="16">
        <v>710328.3</v>
      </c>
      <c r="K14" s="25">
        <v>4448898</v>
      </c>
      <c r="L14" s="16">
        <v>17795592</v>
      </c>
      <c r="M14" s="16"/>
      <c r="N14" s="16"/>
      <c r="O14" s="16"/>
      <c r="P14" s="16"/>
      <c r="Q14" s="16"/>
      <c r="R14" s="76">
        <v>3900000</v>
      </c>
      <c r="S14" s="75">
        <v>0.19</v>
      </c>
      <c r="T14" s="16">
        <v>741000</v>
      </c>
      <c r="U14" s="25">
        <v>4641000</v>
      </c>
      <c r="V14" s="16">
        <v>18564000</v>
      </c>
      <c r="W14" s="16"/>
      <c r="X14" s="16"/>
      <c r="Y14" s="16"/>
      <c r="Z14" s="16"/>
      <c r="AA14" s="16"/>
      <c r="AB14" s="15"/>
      <c r="AC14" s="15"/>
      <c r="AD14" s="15"/>
      <c r="AE14" s="15"/>
      <c r="AF14" s="16">
        <f t="shared" si="1"/>
        <v>4448898</v>
      </c>
      <c r="AG14" s="22">
        <f t="shared" si="0"/>
        <v>17795592</v>
      </c>
      <c r="AH14" s="17" t="str">
        <f>IF(AF14=K14,$G$6,IF(AF14=U14,$Q$6,IF(AF14=#REF!,$AA$6)))</f>
        <v>MERGE SAS</v>
      </c>
      <c r="AI14" s="16">
        <v>6320507.6900000004</v>
      </c>
      <c r="AK14" s="4" t="s">
        <v>120</v>
      </c>
    </row>
    <row r="15" spans="1:37" ht="36" x14ac:dyDescent="0.2">
      <c r="A15" s="6">
        <v>8</v>
      </c>
      <c r="B15" s="49" t="s">
        <v>51</v>
      </c>
      <c r="C15" s="49" t="s">
        <v>52</v>
      </c>
      <c r="D15" s="47" t="s">
        <v>39</v>
      </c>
      <c r="E15" s="49" t="s">
        <v>53</v>
      </c>
      <c r="F15" s="49">
        <v>1</v>
      </c>
      <c r="G15" s="15"/>
      <c r="H15" s="21">
        <v>3108400</v>
      </c>
      <c r="I15" s="21">
        <v>0.19</v>
      </c>
      <c r="J15" s="16">
        <v>590596</v>
      </c>
      <c r="K15" s="25">
        <v>3698996</v>
      </c>
      <c r="L15" s="16">
        <v>3698996</v>
      </c>
      <c r="M15" s="16"/>
      <c r="N15" s="16"/>
      <c r="O15" s="16"/>
      <c r="P15" s="16"/>
      <c r="Q15" s="16"/>
      <c r="R15" s="76">
        <v>3211000</v>
      </c>
      <c r="S15" s="75">
        <v>0.19</v>
      </c>
      <c r="T15" s="16">
        <v>610090</v>
      </c>
      <c r="U15" s="25">
        <v>3821090</v>
      </c>
      <c r="V15" s="16">
        <v>3821090</v>
      </c>
      <c r="W15" s="16"/>
      <c r="X15" s="16"/>
      <c r="Y15" s="16"/>
      <c r="Z15" s="16"/>
      <c r="AA15" s="16"/>
      <c r="AB15" s="15"/>
      <c r="AC15" s="15"/>
      <c r="AD15" s="15"/>
      <c r="AE15" s="15"/>
      <c r="AF15" s="16">
        <f t="shared" si="1"/>
        <v>3698996</v>
      </c>
      <c r="AG15" s="22">
        <f t="shared" si="0"/>
        <v>3698996</v>
      </c>
      <c r="AH15" s="17" t="str">
        <f>IF(AF15=K15,$G$6,IF(AF15=U15,$Q$6,IF(AF15=#REF!,$AA$6)))</f>
        <v>MERGE SAS</v>
      </c>
      <c r="AI15" s="16">
        <v>4651531.5</v>
      </c>
    </row>
    <row r="16" spans="1:37" ht="60" x14ac:dyDescent="0.2">
      <c r="A16" s="6">
        <v>9</v>
      </c>
      <c r="B16" s="51" t="s">
        <v>54</v>
      </c>
      <c r="C16" s="49" t="s">
        <v>55</v>
      </c>
      <c r="D16" s="47" t="s">
        <v>39</v>
      </c>
      <c r="E16" s="51" t="s">
        <v>56</v>
      </c>
      <c r="F16" s="49">
        <v>1</v>
      </c>
      <c r="G16" s="15"/>
      <c r="H16" s="21">
        <v>3328570</v>
      </c>
      <c r="I16" s="21">
        <v>0.19</v>
      </c>
      <c r="J16" s="16">
        <v>632428.30000000005</v>
      </c>
      <c r="K16" s="25">
        <v>3960998</v>
      </c>
      <c r="L16" s="16">
        <v>3960998</v>
      </c>
      <c r="M16" s="16"/>
      <c r="N16" s="16"/>
      <c r="O16" s="16"/>
      <c r="P16" s="16"/>
      <c r="Q16" s="16"/>
      <c r="R16" s="76">
        <v>3380000</v>
      </c>
      <c r="S16" s="75">
        <v>0.19</v>
      </c>
      <c r="T16" s="16">
        <v>642200</v>
      </c>
      <c r="U16" s="25">
        <v>4022200</v>
      </c>
      <c r="V16" s="16">
        <v>4022200</v>
      </c>
      <c r="W16" s="16"/>
      <c r="X16" s="16"/>
      <c r="Y16" s="16"/>
      <c r="Z16" s="16"/>
      <c r="AA16" s="16"/>
      <c r="AB16" s="15"/>
      <c r="AC16" s="15"/>
      <c r="AD16" s="15"/>
      <c r="AE16" s="15"/>
      <c r="AF16" s="16">
        <f t="shared" si="1"/>
        <v>3960998</v>
      </c>
      <c r="AG16" s="22">
        <f t="shared" si="0"/>
        <v>3960998</v>
      </c>
      <c r="AH16" s="17" t="str">
        <f>IF(AF16=K16,$G$6,IF(AF16=U16,$Q$6,IF(AF16=#REF!,$AA$6)))</f>
        <v>MERGE SAS</v>
      </c>
      <c r="AI16" s="16">
        <v>4819321.5</v>
      </c>
    </row>
    <row r="17" spans="1:37" ht="39" customHeight="1" x14ac:dyDescent="0.2">
      <c r="A17" s="6">
        <v>10</v>
      </c>
      <c r="B17" s="49" t="s">
        <v>57</v>
      </c>
      <c r="C17" s="49" t="s">
        <v>58</v>
      </c>
      <c r="D17" s="47" t="s">
        <v>39</v>
      </c>
      <c r="E17" s="49" t="s">
        <v>59</v>
      </c>
      <c r="F17" s="49">
        <v>1</v>
      </c>
      <c r="G17" s="15"/>
      <c r="H17" s="21">
        <v>3768900</v>
      </c>
      <c r="I17" s="21">
        <v>0.19</v>
      </c>
      <c r="J17" s="16">
        <v>716091</v>
      </c>
      <c r="K17" s="25">
        <v>4484991</v>
      </c>
      <c r="L17" s="16">
        <v>4484991</v>
      </c>
      <c r="M17" s="16"/>
      <c r="N17" s="16"/>
      <c r="O17" s="16"/>
      <c r="P17" s="16"/>
      <c r="Q17" s="16"/>
      <c r="R17" s="76">
        <v>3769870</v>
      </c>
      <c r="S17" s="75">
        <v>0.19</v>
      </c>
      <c r="T17" s="16">
        <v>716275.3</v>
      </c>
      <c r="U17" s="25">
        <v>4486145.3</v>
      </c>
      <c r="V17" s="16">
        <v>4486145.3</v>
      </c>
      <c r="W17" s="16"/>
      <c r="X17" s="16"/>
      <c r="Y17" s="16"/>
      <c r="Z17" s="16"/>
      <c r="AA17" s="16"/>
      <c r="AB17" s="15"/>
      <c r="AC17" s="15"/>
      <c r="AD17" s="15"/>
      <c r="AE17" s="15"/>
      <c r="AF17" s="16">
        <f t="shared" si="1"/>
        <v>4484991</v>
      </c>
      <c r="AG17" s="22">
        <f t="shared" si="0"/>
        <v>4484991</v>
      </c>
      <c r="AH17" s="17" t="str">
        <f>IF(AF17=K17,$G$6,IF(AF17=U17,$Q$6,IF(AF17=#REF!,$AA$6)))</f>
        <v>MERGE SAS</v>
      </c>
      <c r="AI17" s="16">
        <v>5354821.5</v>
      </c>
    </row>
    <row r="18" spans="1:37" ht="44.25" customHeight="1" x14ac:dyDescent="0.2">
      <c r="A18" s="6">
        <v>11</v>
      </c>
      <c r="B18" s="49" t="s">
        <v>60</v>
      </c>
      <c r="C18" s="49" t="s">
        <v>61</v>
      </c>
      <c r="D18" s="47" t="s">
        <v>39</v>
      </c>
      <c r="E18" s="49" t="s">
        <v>50</v>
      </c>
      <c r="F18" s="49">
        <v>1</v>
      </c>
      <c r="G18" s="15"/>
      <c r="H18" s="21">
        <v>2752790</v>
      </c>
      <c r="I18" s="21">
        <v>0.19</v>
      </c>
      <c r="J18" s="16">
        <v>523030.10000000003</v>
      </c>
      <c r="K18" s="25">
        <v>3275820</v>
      </c>
      <c r="L18" s="16">
        <v>3275820</v>
      </c>
      <c r="M18" s="16"/>
      <c r="N18" s="16"/>
      <c r="O18" s="16"/>
      <c r="P18" s="16"/>
      <c r="Q18" s="16"/>
      <c r="R18" s="76">
        <v>2519325.9</v>
      </c>
      <c r="S18" s="75">
        <v>0.19</v>
      </c>
      <c r="T18" s="16">
        <v>478671.92099999997</v>
      </c>
      <c r="U18" s="25">
        <v>2997997.821</v>
      </c>
      <c r="V18" s="16">
        <v>2997997.821</v>
      </c>
      <c r="W18" s="16"/>
      <c r="X18" s="16"/>
      <c r="Y18" s="16"/>
      <c r="Z18" s="16"/>
      <c r="AA18" s="16"/>
      <c r="AB18" s="15"/>
      <c r="AC18" s="15"/>
      <c r="AD18" s="15"/>
      <c r="AE18" s="15"/>
      <c r="AF18" s="16">
        <f t="shared" si="1"/>
        <v>2997997.821</v>
      </c>
      <c r="AG18" s="22">
        <f t="shared" si="0"/>
        <v>2997997.821</v>
      </c>
      <c r="AH18" s="54" t="str">
        <f>IF(AF18=K18,$G$6,IF(AF18=U18,$Q$6,IF(AF18=#REF!,$AA$6)))</f>
        <v>INGENIERIA DIGITAL</v>
      </c>
      <c r="AI18" s="16">
        <v>3599849.96</v>
      </c>
      <c r="AK18" s="4" t="s">
        <v>120</v>
      </c>
    </row>
    <row r="19" spans="1:37" ht="132" x14ac:dyDescent="0.2">
      <c r="A19" s="6">
        <v>12</v>
      </c>
      <c r="B19" s="51" t="s">
        <v>62</v>
      </c>
      <c r="C19" s="51" t="s">
        <v>63</v>
      </c>
      <c r="D19" s="47" t="s">
        <v>39</v>
      </c>
      <c r="E19" s="51" t="s">
        <v>50</v>
      </c>
      <c r="F19" s="51">
        <v>8</v>
      </c>
      <c r="G19" s="15"/>
      <c r="H19" s="21">
        <v>3990000</v>
      </c>
      <c r="I19" s="21">
        <v>0.19</v>
      </c>
      <c r="J19" s="16">
        <v>758100</v>
      </c>
      <c r="K19" s="71">
        <v>4748100</v>
      </c>
      <c r="L19" s="16">
        <v>37984800</v>
      </c>
      <c r="M19" s="16"/>
      <c r="N19" s="16"/>
      <c r="O19" s="16"/>
      <c r="P19" s="16"/>
      <c r="Q19" s="16"/>
      <c r="R19" s="76">
        <v>4030000</v>
      </c>
      <c r="S19" s="75">
        <v>0.19</v>
      </c>
      <c r="T19" s="16">
        <v>765700</v>
      </c>
      <c r="U19" s="69" t="s">
        <v>157</v>
      </c>
      <c r="V19" s="16">
        <v>38365600</v>
      </c>
      <c r="W19" s="16"/>
      <c r="X19" s="16"/>
      <c r="Y19" s="16"/>
      <c r="Z19" s="16"/>
      <c r="AA19" s="16"/>
      <c r="AB19" s="15"/>
      <c r="AC19" s="15"/>
      <c r="AD19" s="15"/>
      <c r="AE19" s="15"/>
      <c r="AF19" s="16">
        <f t="shared" si="1"/>
        <v>4748100</v>
      </c>
      <c r="AG19" s="22">
        <f t="shared" si="0"/>
        <v>37984800</v>
      </c>
      <c r="AH19" s="17" t="str">
        <f>IF(AF19=K19,$G$6,IF(AF19=U19,$Q$6,IF(AF19=#REF!,$AA$6)))</f>
        <v>MERGE SAS</v>
      </c>
      <c r="AI19" s="16">
        <v>4664800</v>
      </c>
      <c r="AK19" s="72" t="s">
        <v>121</v>
      </c>
    </row>
    <row r="20" spans="1:37" ht="72" x14ac:dyDescent="0.2">
      <c r="A20" s="6">
        <v>13</v>
      </c>
      <c r="B20" s="49" t="s">
        <v>64</v>
      </c>
      <c r="C20" s="49" t="s">
        <v>65</v>
      </c>
      <c r="D20" s="47" t="s">
        <v>39</v>
      </c>
      <c r="E20" s="49" t="s">
        <v>66</v>
      </c>
      <c r="F20" s="49">
        <v>1</v>
      </c>
      <c r="G20" s="15"/>
      <c r="H20" s="21">
        <v>15125000</v>
      </c>
      <c r="I20" s="21">
        <v>0.19</v>
      </c>
      <c r="J20" s="16">
        <v>2873750</v>
      </c>
      <c r="K20" s="25">
        <v>17998750</v>
      </c>
      <c r="L20" s="16">
        <v>17998750</v>
      </c>
      <c r="M20" s="16"/>
      <c r="N20" s="16"/>
      <c r="O20" s="16"/>
      <c r="P20" s="16"/>
      <c r="Q20" s="16"/>
      <c r="R20" s="76">
        <v>11438700</v>
      </c>
      <c r="S20" s="75">
        <v>0.19</v>
      </c>
      <c r="T20" s="16">
        <v>2173353</v>
      </c>
      <c r="U20" s="71">
        <v>13612053</v>
      </c>
      <c r="V20" s="16">
        <v>13612053</v>
      </c>
      <c r="W20" s="16"/>
      <c r="X20" s="16"/>
      <c r="Y20" s="16"/>
      <c r="Z20" s="16"/>
      <c r="AA20" s="16"/>
      <c r="AB20" s="15"/>
      <c r="AC20" s="15"/>
      <c r="AD20" s="15"/>
      <c r="AE20" s="15"/>
      <c r="AF20" s="16">
        <f t="shared" si="1"/>
        <v>13612053</v>
      </c>
      <c r="AG20" s="22">
        <f t="shared" si="0"/>
        <v>13612053</v>
      </c>
      <c r="AH20" s="54" t="str">
        <f>IF(AF20=K20,$G$6,IF(AF20=U20,$Q$6,IF(AF20=#REF!,$AA$6)))</f>
        <v>INGENIERIA DIGITAL</v>
      </c>
      <c r="AI20" s="16">
        <v>10709785.800000001</v>
      </c>
      <c r="AK20" s="72" t="s">
        <v>121</v>
      </c>
    </row>
    <row r="21" spans="1:37" ht="47.25" customHeight="1" x14ac:dyDescent="0.2">
      <c r="A21" s="6">
        <v>14</v>
      </c>
      <c r="B21" s="49" t="s">
        <v>67</v>
      </c>
      <c r="C21" s="50" t="s">
        <v>68</v>
      </c>
      <c r="D21" s="49" t="s">
        <v>39</v>
      </c>
      <c r="E21" s="50" t="s">
        <v>69</v>
      </c>
      <c r="F21" s="49">
        <v>1</v>
      </c>
      <c r="G21" s="15"/>
      <c r="H21" s="21">
        <v>2799000</v>
      </c>
      <c r="I21" s="21">
        <v>0.19</v>
      </c>
      <c r="J21" s="16">
        <v>531810</v>
      </c>
      <c r="K21" s="25">
        <v>3330810</v>
      </c>
      <c r="L21" s="16">
        <v>3330810</v>
      </c>
      <c r="M21" s="16"/>
      <c r="N21" s="16"/>
      <c r="O21" s="16"/>
      <c r="P21" s="16"/>
      <c r="Q21" s="16"/>
      <c r="R21" s="76">
        <v>2553070</v>
      </c>
      <c r="S21" s="75">
        <v>0.19</v>
      </c>
      <c r="T21" s="16">
        <v>485083.3</v>
      </c>
      <c r="U21" s="71">
        <v>3038153.3</v>
      </c>
      <c r="V21" s="16">
        <v>3038153.3</v>
      </c>
      <c r="W21" s="16"/>
      <c r="X21" s="16"/>
      <c r="Y21" s="16"/>
      <c r="Z21" s="16"/>
      <c r="AA21" s="16"/>
      <c r="AB21" s="15"/>
      <c r="AC21" s="15"/>
      <c r="AD21" s="15"/>
      <c r="AE21" s="15"/>
      <c r="AF21" s="16">
        <f t="shared" si="1"/>
        <v>3038153.3</v>
      </c>
      <c r="AG21" s="22">
        <f t="shared" si="0"/>
        <v>3038153.3</v>
      </c>
      <c r="AH21" s="54" t="str">
        <f>IF(AF21=K21,$G$6,IF(AF21=U21,$Q$6,IF(AF21=#REF!,$AA$6)))</f>
        <v>INGENIERIA DIGITAL</v>
      </c>
      <c r="AI21" s="16">
        <v>2497215</v>
      </c>
      <c r="AK21" s="72" t="s">
        <v>121</v>
      </c>
    </row>
    <row r="22" spans="1:37" ht="50.25" customHeight="1" x14ac:dyDescent="0.2">
      <c r="A22" s="6">
        <v>15</v>
      </c>
      <c r="B22" s="49" t="s">
        <v>70</v>
      </c>
      <c r="C22" s="49" t="s">
        <v>71</v>
      </c>
      <c r="D22" s="49" t="s">
        <v>39</v>
      </c>
      <c r="E22" s="49" t="s">
        <v>72</v>
      </c>
      <c r="F22" s="49">
        <v>2</v>
      </c>
      <c r="G22" s="15"/>
      <c r="H22" s="21">
        <v>214000</v>
      </c>
      <c r="I22" s="21">
        <v>0.19</v>
      </c>
      <c r="J22" s="16">
        <v>40660</v>
      </c>
      <c r="K22" s="25">
        <v>254660</v>
      </c>
      <c r="L22" s="16">
        <v>509320</v>
      </c>
      <c r="M22" s="16"/>
      <c r="N22" s="16"/>
      <c r="O22" s="16"/>
      <c r="P22" s="16"/>
      <c r="Q22" s="16"/>
      <c r="R22" s="76">
        <v>389870</v>
      </c>
      <c r="S22" s="75">
        <v>0.19</v>
      </c>
      <c r="T22" s="16">
        <v>74075.3</v>
      </c>
      <c r="U22" s="25">
        <v>463945.3</v>
      </c>
      <c r="V22" s="16">
        <v>927890.6</v>
      </c>
      <c r="W22" s="16"/>
      <c r="X22" s="16"/>
      <c r="Y22" s="16"/>
      <c r="Z22" s="16"/>
      <c r="AA22" s="16"/>
      <c r="AB22" s="15"/>
      <c r="AC22" s="15"/>
      <c r="AD22" s="15"/>
      <c r="AE22" s="15"/>
      <c r="AF22" s="16">
        <f t="shared" si="1"/>
        <v>254660</v>
      </c>
      <c r="AG22" s="22">
        <f t="shared" si="0"/>
        <v>509320</v>
      </c>
      <c r="AH22" s="17" t="str">
        <f>IF(AF22=K22,$G$6,IF(AF22=U22,$Q$6,IF(AF22=#REF!,$AA$6)))</f>
        <v>MERGE SAS</v>
      </c>
      <c r="AI22" s="16">
        <v>1035523</v>
      </c>
    </row>
    <row r="23" spans="1:37" ht="216" x14ac:dyDescent="0.2">
      <c r="A23" s="6">
        <v>16</v>
      </c>
      <c r="B23" s="49" t="s">
        <v>73</v>
      </c>
      <c r="C23" s="49" t="s">
        <v>74</v>
      </c>
      <c r="D23" s="49" t="s">
        <v>39</v>
      </c>
      <c r="E23" s="49" t="s">
        <v>75</v>
      </c>
      <c r="F23" s="49">
        <v>2</v>
      </c>
      <c r="G23" s="15"/>
      <c r="H23" s="21">
        <v>2520000</v>
      </c>
      <c r="I23" s="21">
        <v>0.19</v>
      </c>
      <c r="J23" s="16">
        <v>478800</v>
      </c>
      <c r="K23" s="25">
        <v>2998800</v>
      </c>
      <c r="L23" s="16">
        <v>5997600</v>
      </c>
      <c r="M23" s="16"/>
      <c r="N23" s="16"/>
      <c r="O23" s="16"/>
      <c r="P23" s="16"/>
      <c r="Q23" s="16"/>
      <c r="R23" s="76">
        <v>884780</v>
      </c>
      <c r="S23" s="75">
        <v>0.19</v>
      </c>
      <c r="T23" s="16">
        <v>168108.2</v>
      </c>
      <c r="U23" s="25">
        <v>1052888.2</v>
      </c>
      <c r="V23" s="16">
        <v>2105776.4</v>
      </c>
      <c r="W23" s="16"/>
      <c r="X23" s="16"/>
      <c r="Y23" s="16"/>
      <c r="Z23" s="16"/>
      <c r="AA23" s="16"/>
      <c r="AB23" s="15"/>
      <c r="AC23" s="15"/>
      <c r="AD23" s="15"/>
      <c r="AE23" s="15"/>
      <c r="AF23" s="16">
        <f t="shared" si="1"/>
        <v>1052888.2</v>
      </c>
      <c r="AG23" s="22">
        <f t="shared" si="0"/>
        <v>2105776.4</v>
      </c>
      <c r="AH23" s="54" t="str">
        <f>IF(AF23=K23,$G$6,IF(AF23=U23,$Q$6,IF(AF23=#REF!,$AA$6)))</f>
        <v>INGENIERIA DIGITAL</v>
      </c>
      <c r="AI23" s="16">
        <v>3211215</v>
      </c>
      <c r="AK23" s="74"/>
    </row>
    <row r="24" spans="1:37" ht="38.25" customHeight="1" x14ac:dyDescent="0.2">
      <c r="A24" s="6">
        <v>17</v>
      </c>
      <c r="B24" s="49" t="s">
        <v>76</v>
      </c>
      <c r="C24" s="49" t="s">
        <v>77</v>
      </c>
      <c r="D24" s="49" t="s">
        <v>39</v>
      </c>
      <c r="E24" s="49" t="s">
        <v>78</v>
      </c>
      <c r="F24" s="49">
        <v>4</v>
      </c>
      <c r="G24" s="15"/>
      <c r="H24" s="21">
        <v>214000</v>
      </c>
      <c r="I24" s="21">
        <v>0.19</v>
      </c>
      <c r="J24" s="16">
        <v>40660</v>
      </c>
      <c r="K24" s="25">
        <v>254660</v>
      </c>
      <c r="L24" s="16">
        <v>1018640</v>
      </c>
      <c r="M24" s="16"/>
      <c r="N24" s="16"/>
      <c r="O24" s="16"/>
      <c r="P24" s="16"/>
      <c r="Q24" s="16"/>
      <c r="R24" s="76">
        <v>246870</v>
      </c>
      <c r="S24" s="75">
        <v>0.19</v>
      </c>
      <c r="T24" s="16">
        <v>46905.3</v>
      </c>
      <c r="U24" s="25">
        <v>293775.3</v>
      </c>
      <c r="V24" s="16">
        <v>1175101.2</v>
      </c>
      <c r="W24" s="16"/>
      <c r="X24" s="16"/>
      <c r="Y24" s="16"/>
      <c r="Z24" s="16"/>
      <c r="AA24" s="16"/>
      <c r="AB24" s="15"/>
      <c r="AC24" s="15"/>
      <c r="AD24" s="15"/>
      <c r="AE24" s="15"/>
      <c r="AF24" s="16">
        <f t="shared" si="1"/>
        <v>254660</v>
      </c>
      <c r="AG24" s="22">
        <f t="shared" si="0"/>
        <v>1018640</v>
      </c>
      <c r="AH24" s="17" t="str">
        <f>IF(AF24=K24,$G$6,IF(AF24=U24,$Q$6,IF(AF24=#REF!,$AA$6)))</f>
        <v>MERGE SAS</v>
      </c>
      <c r="AI24" s="16">
        <v>273105</v>
      </c>
    </row>
    <row r="25" spans="1:37" ht="94.5" customHeight="1" x14ac:dyDescent="0.2">
      <c r="A25" s="6">
        <v>18</v>
      </c>
      <c r="B25" s="49" t="s">
        <v>79</v>
      </c>
      <c r="C25" s="49" t="s">
        <v>80</v>
      </c>
      <c r="D25" s="47" t="s">
        <v>39</v>
      </c>
      <c r="E25" s="49" t="s">
        <v>81</v>
      </c>
      <c r="F25" s="49">
        <v>1</v>
      </c>
      <c r="G25" s="15"/>
      <c r="H25" s="21">
        <v>990000</v>
      </c>
      <c r="I25" s="21">
        <v>0.19</v>
      </c>
      <c r="J25" s="16">
        <v>188100</v>
      </c>
      <c r="K25" s="25">
        <v>1178100</v>
      </c>
      <c r="L25" s="16">
        <v>1178100</v>
      </c>
      <c r="M25" s="16"/>
      <c r="N25" s="16"/>
      <c r="O25" s="16"/>
      <c r="P25" s="16"/>
      <c r="Q25" s="16"/>
      <c r="R25" s="76">
        <v>786554.6</v>
      </c>
      <c r="S25" s="75">
        <v>0.19</v>
      </c>
      <c r="T25" s="16">
        <v>149445.37400000001</v>
      </c>
      <c r="U25" s="25">
        <v>935999.97399999993</v>
      </c>
      <c r="V25" s="16">
        <v>935999.97399999993</v>
      </c>
      <c r="W25" s="16"/>
      <c r="X25" s="16"/>
      <c r="Y25" s="16"/>
      <c r="Z25" s="16"/>
      <c r="AA25" s="16"/>
      <c r="AB25" s="15"/>
      <c r="AC25" s="15"/>
      <c r="AD25" s="15"/>
      <c r="AE25" s="15"/>
      <c r="AF25" s="16">
        <f t="shared" si="1"/>
        <v>935999.97399999993</v>
      </c>
      <c r="AG25" s="22">
        <f t="shared" si="0"/>
        <v>935999.97399999993</v>
      </c>
      <c r="AH25" s="54" t="str">
        <f>IF(AF25=K25,$G$6,IF(AF25=U25,$Q$6,IF(AF25=#REF!,$AA$6)))</f>
        <v>INGENIERIA DIGITAL</v>
      </c>
      <c r="AI25" s="16">
        <v>1909950</v>
      </c>
      <c r="AK25" s="74"/>
    </row>
    <row r="26" spans="1:37" ht="51" customHeight="1" x14ac:dyDescent="0.2">
      <c r="A26" s="6">
        <v>19</v>
      </c>
      <c r="B26" s="49" t="s">
        <v>82</v>
      </c>
      <c r="C26" s="49" t="s">
        <v>83</v>
      </c>
      <c r="D26" s="47" t="s">
        <v>39</v>
      </c>
      <c r="E26" s="49" t="s">
        <v>84</v>
      </c>
      <c r="F26" s="49">
        <v>3</v>
      </c>
      <c r="G26" s="15"/>
      <c r="H26" s="21">
        <v>680000</v>
      </c>
      <c r="I26" s="21">
        <v>0.19</v>
      </c>
      <c r="J26" s="16">
        <v>129200</v>
      </c>
      <c r="K26" s="71">
        <v>809200</v>
      </c>
      <c r="L26" s="16">
        <v>2427600</v>
      </c>
      <c r="M26" s="16"/>
      <c r="N26" s="16"/>
      <c r="O26" s="16"/>
      <c r="P26" s="16"/>
      <c r="Q26" s="16"/>
      <c r="R26" s="76">
        <v>694352.1</v>
      </c>
      <c r="S26" s="75">
        <v>0.19</v>
      </c>
      <c r="T26" s="16">
        <v>131926.899</v>
      </c>
      <c r="U26" s="25">
        <v>826278.99899999995</v>
      </c>
      <c r="V26" s="16">
        <v>2478836.997</v>
      </c>
      <c r="W26" s="16"/>
      <c r="X26" s="16"/>
      <c r="Y26" s="16"/>
      <c r="Z26" s="16"/>
      <c r="AA26" s="16"/>
      <c r="AB26" s="15"/>
      <c r="AC26" s="15"/>
      <c r="AD26" s="15"/>
      <c r="AE26" s="15"/>
      <c r="AF26" s="16">
        <f t="shared" si="1"/>
        <v>809200</v>
      </c>
      <c r="AG26" s="22">
        <f t="shared" si="0"/>
        <v>2427600</v>
      </c>
      <c r="AH26" s="17" t="str">
        <f>IF(AF26=K26,$G$6,IF(AF26=U26,$Q$6,IF(AF26=#REF!,$AA$6)))</f>
        <v>MERGE SAS</v>
      </c>
      <c r="AI26" s="16">
        <v>801465</v>
      </c>
      <c r="AK26" s="72" t="s">
        <v>121</v>
      </c>
    </row>
    <row r="27" spans="1:37" ht="41.25" customHeight="1" x14ac:dyDescent="0.2">
      <c r="A27" s="6">
        <v>20</v>
      </c>
      <c r="B27" s="49" t="s">
        <v>85</v>
      </c>
      <c r="C27" s="49" t="s">
        <v>86</v>
      </c>
      <c r="D27" s="47" t="s">
        <v>39</v>
      </c>
      <c r="E27" s="49" t="s">
        <v>87</v>
      </c>
      <c r="F27" s="49">
        <v>1</v>
      </c>
      <c r="G27" s="15"/>
      <c r="H27" s="21">
        <v>990000</v>
      </c>
      <c r="I27" s="21">
        <v>0.19</v>
      </c>
      <c r="J27" s="16">
        <v>188100</v>
      </c>
      <c r="K27" s="25">
        <v>1178100</v>
      </c>
      <c r="L27" s="16">
        <v>1178100</v>
      </c>
      <c r="M27" s="16"/>
      <c r="N27" s="16"/>
      <c r="O27" s="16"/>
      <c r="P27" s="16"/>
      <c r="Q27" s="16"/>
      <c r="R27" s="76">
        <v>968500</v>
      </c>
      <c r="S27" s="75">
        <v>0.19</v>
      </c>
      <c r="T27" s="16">
        <v>184015</v>
      </c>
      <c r="U27" s="25">
        <v>1152515</v>
      </c>
      <c r="V27" s="16">
        <v>1152515</v>
      </c>
      <c r="W27" s="16"/>
      <c r="X27" s="16"/>
      <c r="Y27" s="16"/>
      <c r="Z27" s="16"/>
      <c r="AA27" s="16"/>
      <c r="AB27" s="15"/>
      <c r="AC27" s="15"/>
      <c r="AD27" s="15"/>
      <c r="AE27" s="15"/>
      <c r="AF27" s="16">
        <f t="shared" si="1"/>
        <v>1152515</v>
      </c>
      <c r="AG27" s="22">
        <f t="shared" si="0"/>
        <v>1152515</v>
      </c>
      <c r="AH27" s="54" t="str">
        <f>IF(AF27=K27,$G$6,IF(AF27=U27,$Q$6,IF(AF27=#REF!,$AA$6)))</f>
        <v>INGENIERIA DIGITAL</v>
      </c>
      <c r="AI27" s="16">
        <v>1428000</v>
      </c>
      <c r="AK27" s="4" t="s">
        <v>120</v>
      </c>
    </row>
    <row r="28" spans="1:37" ht="36.75" customHeight="1" x14ac:dyDescent="0.2">
      <c r="A28" s="6">
        <v>21</v>
      </c>
      <c r="B28" s="49" t="s">
        <v>88</v>
      </c>
      <c r="C28" s="49" t="s">
        <v>89</v>
      </c>
      <c r="D28" s="47" t="s">
        <v>39</v>
      </c>
      <c r="E28" s="49" t="s">
        <v>90</v>
      </c>
      <c r="F28" s="49">
        <v>2</v>
      </c>
      <c r="G28" s="15"/>
      <c r="H28" s="21">
        <v>290000</v>
      </c>
      <c r="I28" s="21">
        <v>0.19</v>
      </c>
      <c r="J28" s="16">
        <v>55100</v>
      </c>
      <c r="K28" s="25">
        <v>345100</v>
      </c>
      <c r="L28" s="16">
        <v>690200</v>
      </c>
      <c r="M28" s="16"/>
      <c r="N28" s="16"/>
      <c r="O28" s="16"/>
      <c r="P28" s="16"/>
      <c r="Q28" s="16"/>
      <c r="R28" s="76">
        <v>575770</v>
      </c>
      <c r="S28" s="75">
        <v>0.19</v>
      </c>
      <c r="T28" s="16">
        <v>109396.3</v>
      </c>
      <c r="U28" s="69" t="s">
        <v>157</v>
      </c>
      <c r="V28" s="16">
        <v>1370332.6</v>
      </c>
      <c r="W28" s="16"/>
      <c r="X28" s="16"/>
      <c r="Y28" s="16"/>
      <c r="Z28" s="16"/>
      <c r="AA28" s="16"/>
      <c r="AB28" s="15"/>
      <c r="AC28" s="15"/>
      <c r="AD28" s="15"/>
      <c r="AE28" s="15"/>
      <c r="AF28" s="16">
        <f t="shared" si="1"/>
        <v>345100</v>
      </c>
      <c r="AG28" s="22">
        <f t="shared" si="0"/>
        <v>690200</v>
      </c>
      <c r="AH28" s="17" t="str">
        <f>IF(AF28=K28,$G$6,IF(AF28=U28,$Q$6,IF(AF28=#REF!,$AA$6)))</f>
        <v>MERGE SAS</v>
      </c>
      <c r="AI28" s="16">
        <v>361462.5</v>
      </c>
    </row>
    <row r="29" spans="1:37" ht="29.25" customHeight="1" x14ac:dyDescent="0.2">
      <c r="A29" s="6">
        <v>22</v>
      </c>
      <c r="B29" s="49" t="s">
        <v>91</v>
      </c>
      <c r="C29" s="49" t="s">
        <v>92</v>
      </c>
      <c r="D29" s="52" t="s">
        <v>39</v>
      </c>
      <c r="E29" s="49" t="s">
        <v>93</v>
      </c>
      <c r="F29" s="49">
        <v>2</v>
      </c>
      <c r="G29" s="15"/>
      <c r="H29" s="21">
        <v>525000</v>
      </c>
      <c r="I29" s="21">
        <v>0.19</v>
      </c>
      <c r="J29" s="16">
        <v>99750</v>
      </c>
      <c r="K29" s="25">
        <v>624750</v>
      </c>
      <c r="L29" s="16">
        <v>1249500</v>
      </c>
      <c r="M29" s="16"/>
      <c r="N29" s="16"/>
      <c r="O29" s="16"/>
      <c r="P29" s="16"/>
      <c r="Q29" s="16"/>
      <c r="R29" s="76">
        <v>571987</v>
      </c>
      <c r="S29" s="75">
        <v>0.19</v>
      </c>
      <c r="T29" s="16">
        <v>108677.53</v>
      </c>
      <c r="U29" s="25">
        <v>680664.53</v>
      </c>
      <c r="V29" s="16">
        <v>1361329.06</v>
      </c>
      <c r="W29" s="16"/>
      <c r="X29" s="16"/>
      <c r="Y29" s="16"/>
      <c r="Z29" s="16"/>
      <c r="AA29" s="16"/>
      <c r="AB29" s="15" t="s">
        <v>20</v>
      </c>
      <c r="AC29" s="15">
        <v>19</v>
      </c>
      <c r="AD29" s="15" t="s">
        <v>21</v>
      </c>
      <c r="AE29" s="15"/>
      <c r="AF29" s="16">
        <f t="shared" si="1"/>
        <v>624750</v>
      </c>
      <c r="AG29" s="22">
        <f t="shared" si="0"/>
        <v>1249500</v>
      </c>
      <c r="AH29" s="17" t="str">
        <f>IF(AF29=K29,$G$6,IF(AF29=U29,$Q$6,IF(AF29=#REF!,$AA$6)))</f>
        <v>MERGE SAS</v>
      </c>
      <c r="AI29" s="16">
        <v>669375</v>
      </c>
    </row>
    <row r="30" spans="1:37" ht="24" customHeight="1" x14ac:dyDescent="0.2">
      <c r="A30" s="6">
        <v>23</v>
      </c>
      <c r="B30" s="49" t="s">
        <v>94</v>
      </c>
      <c r="C30" s="49" t="s">
        <v>95</v>
      </c>
      <c r="D30" s="52" t="s">
        <v>39</v>
      </c>
      <c r="E30" s="52" t="s">
        <v>96</v>
      </c>
      <c r="F30" s="49">
        <v>2</v>
      </c>
      <c r="G30" s="15"/>
      <c r="H30" s="21">
        <v>290000</v>
      </c>
      <c r="I30" s="21">
        <v>0.19</v>
      </c>
      <c r="J30" s="16">
        <v>55100</v>
      </c>
      <c r="K30" s="25">
        <v>345100</v>
      </c>
      <c r="L30" s="16">
        <v>690200</v>
      </c>
      <c r="M30" s="16"/>
      <c r="N30" s="16"/>
      <c r="O30" s="16"/>
      <c r="P30" s="16"/>
      <c r="Q30" s="16"/>
      <c r="R30" s="76">
        <v>351000</v>
      </c>
      <c r="S30" s="75">
        <v>0.19</v>
      </c>
      <c r="T30" s="16">
        <v>66690</v>
      </c>
      <c r="U30" s="25">
        <v>417690</v>
      </c>
      <c r="V30" s="16">
        <v>835380</v>
      </c>
      <c r="W30" s="16"/>
      <c r="X30" s="16"/>
      <c r="Y30" s="16"/>
      <c r="Z30" s="16"/>
      <c r="AA30" s="16"/>
      <c r="AB30" s="15"/>
      <c r="AC30" s="15"/>
      <c r="AD30" s="15"/>
      <c r="AE30" s="15"/>
      <c r="AF30" s="16">
        <f t="shared" si="1"/>
        <v>345100</v>
      </c>
      <c r="AG30" s="22">
        <f t="shared" si="0"/>
        <v>690200</v>
      </c>
      <c r="AH30" s="17" t="str">
        <f>IF(AF30=K30,$G$6,IF(AF30=U30,$Q$6,IF(AF30=#REF!,$AA$6)))</f>
        <v>MERGE SAS</v>
      </c>
      <c r="AI30" s="16">
        <v>464100</v>
      </c>
    </row>
    <row r="31" spans="1:37" ht="144" x14ac:dyDescent="0.2">
      <c r="A31" s="6">
        <v>24</v>
      </c>
      <c r="B31" s="49" t="s">
        <v>97</v>
      </c>
      <c r="C31" s="49" t="s">
        <v>98</v>
      </c>
      <c r="D31" s="52" t="s">
        <v>39</v>
      </c>
      <c r="E31" s="49" t="s">
        <v>99</v>
      </c>
      <c r="F31" s="49">
        <v>1</v>
      </c>
      <c r="G31" s="15"/>
      <c r="H31" s="21">
        <v>1350000</v>
      </c>
      <c r="I31" s="21">
        <v>0.19</v>
      </c>
      <c r="J31" s="16">
        <v>256500</v>
      </c>
      <c r="K31" s="25">
        <v>1606500</v>
      </c>
      <c r="L31" s="16">
        <v>1606500</v>
      </c>
      <c r="M31" s="16"/>
      <c r="N31" s="16"/>
      <c r="O31" s="16"/>
      <c r="P31" s="16"/>
      <c r="Q31" s="16"/>
      <c r="R31" s="76">
        <v>794170</v>
      </c>
      <c r="S31" s="75">
        <v>0.19</v>
      </c>
      <c r="T31" s="16">
        <v>150892.29999999999</v>
      </c>
      <c r="U31" s="25">
        <v>945062.3</v>
      </c>
      <c r="V31" s="16">
        <v>945062.3</v>
      </c>
      <c r="W31" s="16"/>
      <c r="X31" s="16"/>
      <c r="Y31" s="16"/>
      <c r="Z31" s="16"/>
      <c r="AA31" s="16"/>
      <c r="AB31" s="15"/>
      <c r="AC31" s="15"/>
      <c r="AD31" s="15"/>
      <c r="AE31" s="15"/>
      <c r="AF31" s="16">
        <f t="shared" si="1"/>
        <v>945062.3</v>
      </c>
      <c r="AG31" s="22">
        <f t="shared" si="0"/>
        <v>945062.3</v>
      </c>
      <c r="AH31" s="54" t="str">
        <f>IF(AF31=K31,$G$6,IF(AF31=U31,$Q$6,IF(AF31=#REF!,$AA$6)))</f>
        <v>INGENIERIA DIGITAL</v>
      </c>
      <c r="AI31" s="16">
        <v>2179032.7999999998</v>
      </c>
      <c r="AK31" s="55" t="s">
        <v>122</v>
      </c>
    </row>
    <row r="32" spans="1:37" ht="36" x14ac:dyDescent="0.2">
      <c r="A32" s="6">
        <v>25</v>
      </c>
      <c r="B32" s="49" t="s">
        <v>100</v>
      </c>
      <c r="C32" s="49" t="s">
        <v>101</v>
      </c>
      <c r="D32" s="52" t="s">
        <v>39</v>
      </c>
      <c r="E32" s="49" t="s">
        <v>102</v>
      </c>
      <c r="F32" s="49">
        <v>4</v>
      </c>
      <c r="G32" s="15"/>
      <c r="H32" s="21">
        <v>285990</v>
      </c>
      <c r="I32" s="21">
        <v>0.19</v>
      </c>
      <c r="J32" s="16">
        <v>54338.1</v>
      </c>
      <c r="K32" s="71">
        <v>340328</v>
      </c>
      <c r="L32" s="16">
        <v>1361312</v>
      </c>
      <c r="M32" s="16"/>
      <c r="N32" s="16"/>
      <c r="O32" s="16"/>
      <c r="P32" s="16"/>
      <c r="Q32" s="16"/>
      <c r="R32" s="76">
        <v>2012075</v>
      </c>
      <c r="S32" s="75">
        <v>0.19</v>
      </c>
      <c r="T32" s="16">
        <v>382294.25</v>
      </c>
      <c r="U32" s="25">
        <v>2394369.25</v>
      </c>
      <c r="V32" s="16">
        <v>9577477</v>
      </c>
      <c r="W32" s="16"/>
      <c r="X32" s="16"/>
      <c r="Y32" s="16"/>
      <c r="Z32" s="16"/>
      <c r="AA32" s="16"/>
      <c r="AB32" s="15"/>
      <c r="AC32" s="15"/>
      <c r="AD32" s="15"/>
      <c r="AE32" s="15"/>
      <c r="AF32" s="16">
        <f t="shared" si="1"/>
        <v>340328</v>
      </c>
      <c r="AG32" s="22">
        <f t="shared" si="0"/>
        <v>1361312</v>
      </c>
      <c r="AH32" s="17" t="str">
        <f>IF(AF32=K32,$G$6,IF(AF32=U32,$Q$6,IF(AF32=#REF!,$AA$6)))</f>
        <v>MERGE SAS</v>
      </c>
      <c r="AI32" s="16">
        <v>233656.5</v>
      </c>
      <c r="AK32" s="72" t="s">
        <v>121</v>
      </c>
    </row>
    <row r="33" spans="1:37" ht="39.75" customHeight="1" x14ac:dyDescent="0.2">
      <c r="A33" s="6">
        <v>26</v>
      </c>
      <c r="B33" s="49" t="s">
        <v>103</v>
      </c>
      <c r="C33" s="49" t="s">
        <v>104</v>
      </c>
      <c r="D33" s="52" t="s">
        <v>39</v>
      </c>
      <c r="E33" s="49" t="s">
        <v>105</v>
      </c>
      <c r="F33" s="49">
        <v>1</v>
      </c>
      <c r="G33" s="15"/>
      <c r="H33" s="21">
        <v>417900</v>
      </c>
      <c r="I33" s="21">
        <v>0.19</v>
      </c>
      <c r="J33" s="16">
        <v>79401</v>
      </c>
      <c r="K33" s="25">
        <v>497301</v>
      </c>
      <c r="L33" s="16">
        <v>497301</v>
      </c>
      <c r="M33" s="16"/>
      <c r="N33" s="16"/>
      <c r="O33" s="16"/>
      <c r="P33" s="16"/>
      <c r="Q33" s="16"/>
      <c r="R33" s="76">
        <v>103870</v>
      </c>
      <c r="S33" s="75">
        <v>0.19</v>
      </c>
      <c r="T33" s="16">
        <v>19735.3</v>
      </c>
      <c r="U33" s="69" t="s">
        <v>157</v>
      </c>
      <c r="V33" s="16">
        <v>123605.3</v>
      </c>
      <c r="W33" s="16"/>
      <c r="X33" s="16"/>
      <c r="Y33" s="16"/>
      <c r="Z33" s="16"/>
      <c r="AA33" s="16"/>
      <c r="AB33" s="15"/>
      <c r="AC33" s="15"/>
      <c r="AD33" s="15"/>
      <c r="AE33" s="15"/>
      <c r="AF33" s="16">
        <f t="shared" si="1"/>
        <v>497301</v>
      </c>
      <c r="AG33" s="22">
        <f t="shared" si="0"/>
        <v>497301</v>
      </c>
      <c r="AH33" s="17" t="str">
        <f>IF(AF33=K33,$G$6,IF(AF33=U33,$Q$6,IF(AF33=#REF!,$AA$6)))</f>
        <v>MERGE SAS</v>
      </c>
      <c r="AI33" s="16">
        <v>694365</v>
      </c>
      <c r="AK33" s="74"/>
    </row>
    <row r="34" spans="1:37" ht="84" x14ac:dyDescent="0.2">
      <c r="A34" s="6">
        <v>27</v>
      </c>
      <c r="B34" s="49" t="s">
        <v>106</v>
      </c>
      <c r="C34" s="49" t="s">
        <v>107</v>
      </c>
      <c r="D34" s="52" t="s">
        <v>39</v>
      </c>
      <c r="E34" s="49" t="s">
        <v>108</v>
      </c>
      <c r="F34" s="49">
        <v>3</v>
      </c>
      <c r="G34" s="15"/>
      <c r="H34" s="21">
        <v>321860</v>
      </c>
      <c r="I34" s="21">
        <v>0.19</v>
      </c>
      <c r="J34" s="16">
        <v>61153.4</v>
      </c>
      <c r="K34" s="25">
        <v>383013</v>
      </c>
      <c r="L34" s="16">
        <v>1149039</v>
      </c>
      <c r="M34" s="16"/>
      <c r="N34" s="16"/>
      <c r="O34" s="16"/>
      <c r="P34" s="16"/>
      <c r="Q34" s="16"/>
      <c r="R34" s="76">
        <v>176670</v>
      </c>
      <c r="S34" s="75">
        <v>0.19</v>
      </c>
      <c r="T34" s="16">
        <v>33567.300000000003</v>
      </c>
      <c r="U34" s="25">
        <v>210237.3</v>
      </c>
      <c r="V34" s="16">
        <v>630711.89999999991</v>
      </c>
      <c r="W34" s="16"/>
      <c r="X34" s="16"/>
      <c r="Y34" s="16"/>
      <c r="Z34" s="16"/>
      <c r="AA34" s="16"/>
      <c r="AB34" s="15"/>
      <c r="AC34" s="15"/>
      <c r="AD34" s="15"/>
      <c r="AE34" s="15"/>
      <c r="AF34" s="16">
        <f t="shared" si="1"/>
        <v>210237.3</v>
      </c>
      <c r="AG34" s="22">
        <f t="shared" si="0"/>
        <v>630711.89999999991</v>
      </c>
      <c r="AH34" s="54" t="str">
        <f>IF(AF34=K34,$G$6,IF(AF34=U34,$Q$6,IF(AF34=#REF!,$AA$6)))</f>
        <v>INGENIERIA DIGITAL</v>
      </c>
      <c r="AI34" s="16">
        <v>233656.5</v>
      </c>
    </row>
    <row r="35" spans="1:37" ht="32.25" customHeight="1" x14ac:dyDescent="0.2">
      <c r="A35" s="6">
        <v>28</v>
      </c>
      <c r="B35" s="49" t="s">
        <v>109</v>
      </c>
      <c r="C35" s="49" t="s">
        <v>109</v>
      </c>
      <c r="D35" s="52" t="s">
        <v>39</v>
      </c>
      <c r="E35" s="49" t="s">
        <v>110</v>
      </c>
      <c r="F35" s="49">
        <v>1</v>
      </c>
      <c r="G35" s="15"/>
      <c r="H35" s="21">
        <v>340000</v>
      </c>
      <c r="I35" s="21">
        <v>0.19</v>
      </c>
      <c r="J35" s="16">
        <v>64600</v>
      </c>
      <c r="K35" s="25">
        <v>404600</v>
      </c>
      <c r="L35" s="16">
        <v>404600</v>
      </c>
      <c r="M35" s="16"/>
      <c r="N35" s="16"/>
      <c r="O35" s="16"/>
      <c r="P35" s="16"/>
      <c r="Q35" s="16"/>
      <c r="R35" s="76">
        <v>71370</v>
      </c>
      <c r="S35" s="75">
        <v>0.19</v>
      </c>
      <c r="T35" s="16">
        <v>13560.3</v>
      </c>
      <c r="U35" s="25">
        <v>84930.3</v>
      </c>
      <c r="V35" s="16">
        <v>84930.3</v>
      </c>
      <c r="W35" s="16"/>
      <c r="X35" s="16"/>
      <c r="Y35" s="16"/>
      <c r="Z35" s="16"/>
      <c r="AA35" s="16"/>
      <c r="AB35" s="15"/>
      <c r="AC35" s="15"/>
      <c r="AD35" s="15"/>
      <c r="AE35" s="15"/>
      <c r="AF35" s="16">
        <f t="shared" si="1"/>
        <v>84930.3</v>
      </c>
      <c r="AG35" s="22">
        <f t="shared" si="0"/>
        <v>84930.3</v>
      </c>
      <c r="AH35" s="54" t="str">
        <f>IF(AF35=K35,$G$6,IF(AF35=U35,$Q$6,IF(AF35=#REF!,$AA$6)))</f>
        <v>INGENIERIA DIGITAL</v>
      </c>
      <c r="AI35" s="16">
        <v>348075</v>
      </c>
      <c r="AK35" s="55" t="s">
        <v>122</v>
      </c>
    </row>
    <row r="36" spans="1:37" ht="29.25" customHeight="1" x14ac:dyDescent="0.2">
      <c r="A36" s="6">
        <v>29</v>
      </c>
      <c r="B36" s="49" t="s">
        <v>111</v>
      </c>
      <c r="C36" s="49" t="s">
        <v>111</v>
      </c>
      <c r="D36" s="52" t="s">
        <v>39</v>
      </c>
      <c r="E36" s="49" t="s">
        <v>69</v>
      </c>
      <c r="F36" s="49">
        <v>1</v>
      </c>
      <c r="G36" s="15"/>
      <c r="H36" s="21">
        <v>150000</v>
      </c>
      <c r="I36" s="21">
        <v>0.19</v>
      </c>
      <c r="J36" s="16">
        <v>28500</v>
      </c>
      <c r="K36" s="25">
        <v>178500</v>
      </c>
      <c r="L36" s="16">
        <v>178500</v>
      </c>
      <c r="M36" s="16"/>
      <c r="N36" s="16"/>
      <c r="O36" s="16"/>
      <c r="P36" s="16"/>
      <c r="Q36" s="16"/>
      <c r="R36" s="76">
        <v>150670</v>
      </c>
      <c r="S36" s="75">
        <v>0.19</v>
      </c>
      <c r="T36" s="16">
        <v>28627.3</v>
      </c>
      <c r="U36" s="25">
        <v>179297.3</v>
      </c>
      <c r="V36" s="16">
        <v>179297.3</v>
      </c>
      <c r="W36" s="16"/>
      <c r="X36" s="16"/>
      <c r="Y36" s="16"/>
      <c r="Z36" s="16"/>
      <c r="AA36" s="16"/>
      <c r="AB36" s="15"/>
      <c r="AC36" s="15"/>
      <c r="AD36" s="15"/>
      <c r="AE36" s="15"/>
      <c r="AF36" s="16">
        <f t="shared" si="1"/>
        <v>178500</v>
      </c>
      <c r="AG36" s="22">
        <f t="shared" si="0"/>
        <v>178500</v>
      </c>
      <c r="AH36" s="17" t="str">
        <f>IF(AF36=K36,$G$6,IF(AF36=U36,$Q$6,IF(AF36=#REF!,$AA$6)))</f>
        <v>MERGE SAS</v>
      </c>
      <c r="AI36" s="16">
        <v>694365</v>
      </c>
      <c r="AK36" s="73"/>
    </row>
    <row r="37" spans="1:37" ht="108" x14ac:dyDescent="0.2">
      <c r="A37" s="6">
        <v>30</v>
      </c>
      <c r="B37" s="49" t="s">
        <v>112</v>
      </c>
      <c r="C37" s="49" t="s">
        <v>113</v>
      </c>
      <c r="D37" s="52"/>
      <c r="E37" s="49" t="s">
        <v>114</v>
      </c>
      <c r="F37" s="49">
        <v>4</v>
      </c>
      <c r="G37" s="15"/>
      <c r="H37" s="21">
        <v>255900</v>
      </c>
      <c r="I37" s="21">
        <v>0.19</v>
      </c>
      <c r="J37" s="16">
        <v>48621</v>
      </c>
      <c r="K37" s="25">
        <v>304521</v>
      </c>
      <c r="L37" s="16">
        <v>1218084</v>
      </c>
      <c r="M37" s="16"/>
      <c r="N37" s="16"/>
      <c r="O37" s="16"/>
      <c r="P37" s="16"/>
      <c r="Q37" s="16"/>
      <c r="R37" s="76">
        <v>285885.60000000003</v>
      </c>
      <c r="S37" s="75">
        <v>0.19</v>
      </c>
      <c r="T37" s="16">
        <v>54318.26400000001</v>
      </c>
      <c r="U37" s="25">
        <v>340203.86400000006</v>
      </c>
      <c r="V37" s="16">
        <v>1360815.4560000002</v>
      </c>
      <c r="W37" s="16"/>
      <c r="X37" s="16"/>
      <c r="Y37" s="16"/>
      <c r="Z37" s="16"/>
      <c r="AA37" s="16"/>
      <c r="AB37" s="15"/>
      <c r="AC37" s="15"/>
      <c r="AD37" s="15"/>
      <c r="AE37" s="15"/>
      <c r="AF37" s="16">
        <f t="shared" si="1"/>
        <v>304521</v>
      </c>
      <c r="AG37" s="22">
        <f t="shared" si="0"/>
        <v>1218084</v>
      </c>
      <c r="AH37" s="17" t="str">
        <f>IF(AF37=K37,$G$6,IF(AF37=U37,$Q$6,IF(AF37=#REF!,$AA$6)))</f>
        <v>MERGE SAS</v>
      </c>
      <c r="AI37" s="16">
        <v>350000.42</v>
      </c>
    </row>
    <row r="38" spans="1:37" ht="108" x14ac:dyDescent="0.2">
      <c r="A38" s="6">
        <v>31</v>
      </c>
      <c r="B38" s="49" t="s">
        <v>112</v>
      </c>
      <c r="C38" s="49" t="s">
        <v>113</v>
      </c>
      <c r="D38" s="52"/>
      <c r="E38" s="49" t="s">
        <v>114</v>
      </c>
      <c r="F38" s="49">
        <v>7</v>
      </c>
      <c r="G38" s="15"/>
      <c r="H38" s="21">
        <v>255900</v>
      </c>
      <c r="I38" s="21">
        <v>0.19</v>
      </c>
      <c r="J38" s="16">
        <v>48621</v>
      </c>
      <c r="K38" s="25">
        <v>304521</v>
      </c>
      <c r="L38" s="16">
        <v>2131647</v>
      </c>
      <c r="M38" s="16"/>
      <c r="N38" s="16"/>
      <c r="O38" s="16"/>
      <c r="P38" s="16"/>
      <c r="Q38" s="16"/>
      <c r="R38" s="76">
        <v>285885.60000000003</v>
      </c>
      <c r="S38" s="75">
        <v>0.19</v>
      </c>
      <c r="T38" s="16">
        <v>54318.26400000001</v>
      </c>
      <c r="U38" s="25">
        <v>340203.86400000006</v>
      </c>
      <c r="V38" s="16">
        <v>2381427.0480000004</v>
      </c>
      <c r="W38" s="16"/>
      <c r="X38" s="16"/>
      <c r="Y38" s="16"/>
      <c r="Z38" s="16"/>
      <c r="AA38" s="16"/>
      <c r="AB38" s="15"/>
      <c r="AC38" s="15"/>
      <c r="AD38" s="15"/>
      <c r="AE38" s="15"/>
      <c r="AF38" s="16">
        <f t="shared" si="1"/>
        <v>304521</v>
      </c>
      <c r="AG38" s="22">
        <f t="shared" si="0"/>
        <v>2131647</v>
      </c>
      <c r="AH38" s="17" t="str">
        <f>IF(AF38=K38,$G$6,IF(AF38=U38,$Q$6,IF(AF38=#REF!,$AA$6)))</f>
        <v>MERGE SAS</v>
      </c>
      <c r="AI38" s="16">
        <v>350000.42</v>
      </c>
    </row>
    <row r="39" spans="1:37" ht="29.25" customHeight="1" x14ac:dyDescent="0.2">
      <c r="A39" s="80" t="s">
        <v>13</v>
      </c>
      <c r="B39" s="80"/>
      <c r="C39" s="80"/>
      <c r="D39" s="80"/>
      <c r="E39" s="80"/>
      <c r="F39" s="80"/>
      <c r="L39" s="24">
        <f>SUM(L8:L38)</f>
        <v>164554720</v>
      </c>
      <c r="V39" s="10">
        <f>SUM(V8:V38)</f>
        <v>167143832.85600007</v>
      </c>
      <c r="AF39" s="18">
        <f>SUM(AF8:AF38)</f>
        <v>69022701.194999993</v>
      </c>
      <c r="AG39" s="18">
        <f>SUM(AG8:AG38)</f>
        <v>153938600.99500003</v>
      </c>
      <c r="AH39" s="19"/>
    </row>
    <row r="40" spans="1:37" x14ac:dyDescent="0.2">
      <c r="A40" s="81"/>
      <c r="B40" s="81"/>
      <c r="C40" s="81"/>
      <c r="D40" s="81"/>
      <c r="E40" s="81"/>
      <c r="F40" s="81"/>
    </row>
    <row r="41" spans="1:37" ht="21" customHeight="1" x14ac:dyDescent="0.2"/>
    <row r="42" spans="1:37" ht="20.25" customHeight="1" x14ac:dyDescent="0.2"/>
    <row r="45" spans="1:37" x14ac:dyDescent="0.2">
      <c r="AF45" s="4" t="s">
        <v>147</v>
      </c>
      <c r="AG45" s="42">
        <f>SUM(AG8+AG9+AG10+AG11+AG12+AG13+AG14+AG15+AG16+AG17+AG22+AG24+AG28+AG29+AG30+AG33+AG36+AG37+AG38)</f>
        <v>86661689</v>
      </c>
    </row>
    <row r="46" spans="1:37" x14ac:dyDescent="0.2">
      <c r="AF46" s="4" t="s">
        <v>116</v>
      </c>
      <c r="AG46" s="42">
        <f>SUM(AG18+AG23+AG25+AG27+AG31+AG34+AG35)</f>
        <v>8852993.6950000003</v>
      </c>
    </row>
    <row r="47" spans="1:37" x14ac:dyDescent="0.2">
      <c r="AG47" s="42">
        <f>AG45+AG46</f>
        <v>95514682.694999993</v>
      </c>
    </row>
    <row r="50" spans="32:34" x14ac:dyDescent="0.2">
      <c r="AF50" s="4" t="s">
        <v>160</v>
      </c>
      <c r="AG50" s="42">
        <f>AG19+AG20+AG21+AG26+AG32</f>
        <v>58423918.299999997</v>
      </c>
      <c r="AH50" s="42"/>
    </row>
    <row r="53" spans="32:34" x14ac:dyDescent="0.2">
      <c r="AG53" s="42">
        <f>AG47+AG50</f>
        <v>153938600.995</v>
      </c>
    </row>
  </sheetData>
  <autoFilter ref="AH1:AH40"/>
  <mergeCells count="8">
    <mergeCell ref="A39:F39"/>
    <mergeCell ref="A40:F40"/>
    <mergeCell ref="A1:AF1"/>
    <mergeCell ref="A2:AF2"/>
    <mergeCell ref="A3:AF4"/>
    <mergeCell ref="G6:P6"/>
    <mergeCell ref="Q6:Z6"/>
    <mergeCell ref="AA6:A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2"/>
  <sheetViews>
    <sheetView topLeftCell="D5" zoomScale="75" zoomScaleNormal="75" workbookViewId="0">
      <selection activeCell="AI17" sqref="AI17"/>
    </sheetView>
  </sheetViews>
  <sheetFormatPr baseColWidth="10" defaultRowHeight="11.25" x14ac:dyDescent="0.2"/>
  <cols>
    <col min="1" max="1" width="9" style="4" customWidth="1"/>
    <col min="2" max="2" width="27.7109375" style="4" bestFit="1" customWidth="1"/>
    <col min="3" max="3" width="33.140625" style="4" customWidth="1"/>
    <col min="4" max="4" width="10.140625" style="4" bestFit="1" customWidth="1"/>
    <col min="5" max="5" width="9.140625" style="4" bestFit="1" customWidth="1"/>
    <col min="6" max="6" width="9.140625" style="4" customWidth="1"/>
    <col min="7" max="7" width="17" style="4" hidden="1" customWidth="1"/>
    <col min="8" max="8" width="13.85546875" style="4" bestFit="1" customWidth="1"/>
    <col min="9" max="9" width="13.140625" style="4" bestFit="1" customWidth="1"/>
    <col min="10" max="10" width="13.7109375" style="4" customWidth="1"/>
    <col min="11" max="11" width="14.5703125" style="4" bestFit="1" customWidth="1"/>
    <col min="12" max="16" width="0" style="4" hidden="1" customWidth="1"/>
    <col min="17" max="17" width="13.140625" style="4" bestFit="1" customWidth="1"/>
    <col min="18" max="18" width="12.5703125" style="4" bestFit="1" customWidth="1"/>
    <col min="19" max="19" width="13.7109375" style="4" bestFit="1" customWidth="1"/>
    <col min="20" max="20" width="14.85546875" style="4" bestFit="1" customWidth="1"/>
    <col min="21" max="25" width="0" style="4" hidden="1" customWidth="1"/>
    <col min="26" max="26" width="13.85546875" style="4" bestFit="1" customWidth="1"/>
    <col min="27" max="27" width="13.140625" style="4" bestFit="1" customWidth="1"/>
    <col min="28" max="28" width="13.7109375" style="4" bestFit="1" customWidth="1"/>
    <col min="29" max="29" width="14.5703125" style="4" bestFit="1" customWidth="1"/>
    <col min="30" max="33" width="0" style="4" hidden="1" customWidth="1"/>
    <col min="34" max="35" width="25" style="4" customWidth="1"/>
    <col min="36" max="36" width="30.28515625" style="4" customWidth="1"/>
    <col min="37" max="37" width="13.7109375" style="61" customWidth="1"/>
    <col min="38" max="38" width="13.85546875" style="4" bestFit="1" customWidth="1"/>
    <col min="39" max="39" width="11.42578125" style="4"/>
    <col min="40" max="40" width="13.140625" style="4" customWidth="1"/>
    <col min="41" max="16384" width="11.42578125" style="4"/>
  </cols>
  <sheetData>
    <row r="1" spans="1:40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66"/>
    </row>
    <row r="2" spans="1:40" ht="38.25" customHeight="1" x14ac:dyDescent="0.2">
      <c r="A2" s="83" t="s">
        <v>146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67"/>
    </row>
    <row r="3" spans="1:40" x14ac:dyDescent="0.2">
      <c r="A3" s="84" t="s">
        <v>27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68"/>
    </row>
    <row r="4" spans="1:40" x14ac:dyDescent="0.2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68"/>
    </row>
    <row r="5" spans="1:40" x14ac:dyDescent="0.2">
      <c r="A5" s="5"/>
      <c r="B5" s="5"/>
      <c r="C5" s="5"/>
      <c r="D5" s="5"/>
      <c r="E5" s="5"/>
      <c r="F5" s="5"/>
    </row>
    <row r="6" spans="1:40" ht="27" customHeight="1" x14ac:dyDescent="0.2">
      <c r="A6" s="5"/>
      <c r="B6" s="5"/>
      <c r="C6" s="5"/>
      <c r="D6" s="5"/>
      <c r="E6" s="5"/>
      <c r="F6" s="5"/>
      <c r="G6" s="85" t="s">
        <v>147</v>
      </c>
      <c r="H6" s="86"/>
      <c r="I6" s="86"/>
      <c r="J6" s="86"/>
      <c r="K6" s="86"/>
      <c r="L6" s="86"/>
      <c r="M6" s="86"/>
      <c r="N6" s="86"/>
      <c r="O6" s="87"/>
      <c r="P6" s="88" t="s">
        <v>148</v>
      </c>
      <c r="Q6" s="89"/>
      <c r="R6" s="89"/>
      <c r="S6" s="89"/>
      <c r="T6" s="89"/>
      <c r="U6" s="89"/>
      <c r="V6" s="89"/>
      <c r="W6" s="89"/>
      <c r="X6" s="89"/>
      <c r="Y6" s="90" t="s">
        <v>149</v>
      </c>
      <c r="Z6" s="90"/>
      <c r="AA6" s="90"/>
      <c r="AB6" s="90"/>
      <c r="AC6" s="90"/>
      <c r="AD6" s="90"/>
      <c r="AE6" s="90"/>
      <c r="AF6" s="90"/>
      <c r="AG6" s="90"/>
    </row>
    <row r="7" spans="1:40" ht="67.5" x14ac:dyDescent="0.2">
      <c r="A7" s="6" t="s">
        <v>25</v>
      </c>
      <c r="B7" s="6" t="s">
        <v>10</v>
      </c>
      <c r="C7" s="6" t="s">
        <v>1</v>
      </c>
      <c r="D7" s="6" t="s">
        <v>14</v>
      </c>
      <c r="E7" s="6" t="s">
        <v>2</v>
      </c>
      <c r="F7" s="7" t="s">
        <v>3</v>
      </c>
      <c r="G7" s="8" t="s">
        <v>4</v>
      </c>
      <c r="H7" s="8" t="s">
        <v>16</v>
      </c>
      <c r="I7" s="8" t="s">
        <v>17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12</v>
      </c>
      <c r="O7" s="9" t="s">
        <v>15</v>
      </c>
      <c r="P7" s="10" t="s">
        <v>4</v>
      </c>
      <c r="Q7" s="10" t="s">
        <v>16</v>
      </c>
      <c r="R7" s="10" t="s">
        <v>17</v>
      </c>
      <c r="S7" s="11" t="s">
        <v>5</v>
      </c>
      <c r="T7" s="11" t="s">
        <v>6</v>
      </c>
      <c r="U7" s="11" t="s">
        <v>7</v>
      </c>
      <c r="V7" s="11" t="s">
        <v>8</v>
      </c>
      <c r="W7" s="11" t="s">
        <v>12</v>
      </c>
      <c r="X7" s="11" t="s">
        <v>15</v>
      </c>
      <c r="Y7" s="12" t="s">
        <v>4</v>
      </c>
      <c r="Z7" s="12" t="s">
        <v>16</v>
      </c>
      <c r="AA7" s="12" t="s">
        <v>17</v>
      </c>
      <c r="AB7" s="13" t="s">
        <v>5</v>
      </c>
      <c r="AC7" s="13" t="s">
        <v>6</v>
      </c>
      <c r="AD7" s="13" t="s">
        <v>7</v>
      </c>
      <c r="AE7" s="13" t="s">
        <v>8</v>
      </c>
      <c r="AF7" s="13" t="s">
        <v>12</v>
      </c>
      <c r="AG7" s="13" t="s">
        <v>15</v>
      </c>
      <c r="AH7" s="14" t="s">
        <v>18</v>
      </c>
      <c r="AI7" s="14" t="s">
        <v>33</v>
      </c>
      <c r="AJ7" s="14" t="s">
        <v>19</v>
      </c>
      <c r="AK7" s="62"/>
      <c r="AL7" s="59" t="s">
        <v>119</v>
      </c>
    </row>
    <row r="8" spans="1:40" ht="56.25" customHeight="1" x14ac:dyDescent="0.2">
      <c r="A8" s="6">
        <v>1</v>
      </c>
      <c r="B8" s="26" t="s">
        <v>123</v>
      </c>
      <c r="C8" s="26" t="s">
        <v>124</v>
      </c>
      <c r="D8" s="56" t="s">
        <v>39</v>
      </c>
      <c r="E8" s="26" t="s">
        <v>125</v>
      </c>
      <c r="F8" s="26">
        <v>2</v>
      </c>
      <c r="G8" s="15"/>
      <c r="H8" s="28">
        <v>679000</v>
      </c>
      <c r="I8" s="16">
        <f>H8*19%</f>
        <v>129010</v>
      </c>
      <c r="J8" s="25">
        <f>H8+I8</f>
        <v>808010</v>
      </c>
      <c r="K8" s="16">
        <f>J8*F8</f>
        <v>1616020</v>
      </c>
      <c r="L8" s="16"/>
      <c r="M8" s="16"/>
      <c r="N8" s="16"/>
      <c r="O8" s="16"/>
      <c r="P8" s="16"/>
      <c r="Q8" s="30">
        <v>1012700</v>
      </c>
      <c r="R8" s="16">
        <f>Q8*19%</f>
        <v>192413</v>
      </c>
      <c r="S8" s="25">
        <f>Q8+R8</f>
        <v>1205113</v>
      </c>
      <c r="T8" s="16">
        <f>S8*F8</f>
        <v>2410226</v>
      </c>
      <c r="U8" s="16"/>
      <c r="V8" s="16"/>
      <c r="W8" s="16"/>
      <c r="X8" s="16"/>
      <c r="Y8" s="16"/>
      <c r="Z8" s="31">
        <v>630428</v>
      </c>
      <c r="AA8" s="16">
        <f>Z8*19%</f>
        <v>119781.32</v>
      </c>
      <c r="AB8" s="25">
        <f>Z8+AA8</f>
        <v>750209.32000000007</v>
      </c>
      <c r="AC8" s="16">
        <f>AB8*F8</f>
        <v>1500418.6400000001</v>
      </c>
      <c r="AD8" s="15" t="s">
        <v>20</v>
      </c>
      <c r="AE8" s="15">
        <v>19</v>
      </c>
      <c r="AF8" s="15" t="s">
        <v>21</v>
      </c>
      <c r="AG8" s="15"/>
      <c r="AH8" s="16">
        <f>MIN(J8,S8,AB8)</f>
        <v>750209.32000000007</v>
      </c>
      <c r="AI8" s="16">
        <f>AH8*F8</f>
        <v>1500418.6400000001</v>
      </c>
      <c r="AJ8" s="17" t="str">
        <f>IF(AH8=J8,$G$6,IF(AH8=S8,$P$6,IF(AH8=AB8,$Y$6)))</f>
        <v>TECNIKAN</v>
      </c>
      <c r="AK8" s="62"/>
      <c r="AL8" s="60">
        <v>853400</v>
      </c>
    </row>
    <row r="9" spans="1:40" ht="56.25" customHeight="1" x14ac:dyDescent="0.2">
      <c r="A9" s="6">
        <v>2</v>
      </c>
      <c r="B9" s="26" t="s">
        <v>126</v>
      </c>
      <c r="C9" s="26" t="s">
        <v>127</v>
      </c>
      <c r="D9" s="56" t="s">
        <v>39</v>
      </c>
      <c r="E9" s="26" t="s">
        <v>128</v>
      </c>
      <c r="F9" s="26">
        <v>1</v>
      </c>
      <c r="G9" s="15"/>
      <c r="H9" s="28">
        <v>2090000</v>
      </c>
      <c r="I9" s="16">
        <f t="shared" ref="I9:I15" si="0">H9*19%</f>
        <v>397100</v>
      </c>
      <c r="J9" s="25">
        <f t="shared" ref="J9:J15" si="1">H9+I9</f>
        <v>2487100</v>
      </c>
      <c r="K9" s="16">
        <f t="shared" ref="K9:K15" si="2">J9*F9</f>
        <v>2487100</v>
      </c>
      <c r="L9" s="16"/>
      <c r="M9" s="16"/>
      <c r="N9" s="16"/>
      <c r="O9" s="16"/>
      <c r="P9" s="16"/>
      <c r="Q9" s="30">
        <v>799446.70000000007</v>
      </c>
      <c r="R9" s="16">
        <f t="shared" ref="R9:R15" si="3">Q9*19%</f>
        <v>151894.87300000002</v>
      </c>
      <c r="S9" s="70" t="s">
        <v>159</v>
      </c>
      <c r="T9" s="16" t="e">
        <f t="shared" ref="T9:T15" si="4">S9*F9</f>
        <v>#VALUE!</v>
      </c>
      <c r="U9" s="16"/>
      <c r="V9" s="16"/>
      <c r="W9" s="16"/>
      <c r="X9" s="16"/>
      <c r="Y9" s="16"/>
      <c r="Z9" s="31">
        <v>1783383.5250000001</v>
      </c>
      <c r="AA9" s="16">
        <f t="shared" ref="AA9:AA15" si="5">Z9*19%</f>
        <v>338842.86975000001</v>
      </c>
      <c r="AB9" s="25">
        <f t="shared" ref="AB9:AB15" si="6">Z9+AA9</f>
        <v>2122226.39475</v>
      </c>
      <c r="AC9" s="16">
        <f t="shared" ref="AC9:AC15" si="7">AB9*F9</f>
        <v>2122226.39475</v>
      </c>
      <c r="AD9" s="15"/>
      <c r="AE9" s="15"/>
      <c r="AF9" s="15"/>
      <c r="AG9" s="15"/>
      <c r="AH9" s="16">
        <f t="shared" ref="AH9:AH15" si="8">MIN(J9,S9,AB9)</f>
        <v>2122226.39475</v>
      </c>
      <c r="AI9" s="16">
        <f t="shared" ref="AI9:AI15" si="9">AH9*F9</f>
        <v>2122226.39475</v>
      </c>
      <c r="AJ9" s="17" t="str">
        <f t="shared" ref="AJ9:AJ14" si="10">IF(AH9=J9,$G$6,IF(AH9=S9,$P$6,IF(AH9=AB9,$Y$6)))</f>
        <v>TECNIKAN</v>
      </c>
      <c r="AK9" s="62"/>
      <c r="AL9" s="53">
        <v>2134670</v>
      </c>
      <c r="AN9" s="55"/>
    </row>
    <row r="10" spans="1:40" ht="56.25" customHeight="1" x14ac:dyDescent="0.2">
      <c r="A10" s="6">
        <v>3</v>
      </c>
      <c r="B10" s="26" t="s">
        <v>129</v>
      </c>
      <c r="C10" s="26" t="s">
        <v>130</v>
      </c>
      <c r="D10" s="56" t="s">
        <v>39</v>
      </c>
      <c r="E10" s="26" t="s">
        <v>131</v>
      </c>
      <c r="F10" s="26">
        <v>1</v>
      </c>
      <c r="G10" s="15"/>
      <c r="H10" s="28">
        <v>580000</v>
      </c>
      <c r="I10" s="16">
        <f t="shared" si="0"/>
        <v>110200</v>
      </c>
      <c r="J10" s="25">
        <f t="shared" si="1"/>
        <v>690200</v>
      </c>
      <c r="K10" s="16">
        <f t="shared" si="2"/>
        <v>690200</v>
      </c>
      <c r="L10" s="16"/>
      <c r="M10" s="16"/>
      <c r="N10" s="16"/>
      <c r="O10" s="16"/>
      <c r="P10" s="16"/>
      <c r="Q10" s="30">
        <v>515969.99999999994</v>
      </c>
      <c r="R10" s="16">
        <f t="shared" si="3"/>
        <v>98034.299999999988</v>
      </c>
      <c r="S10" s="25">
        <f t="shared" ref="S10:S15" si="11">Q10+R10</f>
        <v>614004.29999999993</v>
      </c>
      <c r="T10" s="16">
        <f t="shared" si="4"/>
        <v>614004.29999999993</v>
      </c>
      <c r="U10" s="16"/>
      <c r="V10" s="16"/>
      <c r="W10" s="16"/>
      <c r="X10" s="16"/>
      <c r="Y10" s="16"/>
      <c r="Z10" s="31">
        <v>393529.4117647059</v>
      </c>
      <c r="AA10" s="16">
        <f t="shared" si="5"/>
        <v>74770.588235294126</v>
      </c>
      <c r="AB10" s="25">
        <f t="shared" si="6"/>
        <v>468300</v>
      </c>
      <c r="AC10" s="16">
        <f t="shared" si="7"/>
        <v>468300</v>
      </c>
      <c r="AD10" s="15"/>
      <c r="AE10" s="15"/>
      <c r="AF10" s="15"/>
      <c r="AG10" s="15"/>
      <c r="AH10" s="16">
        <f t="shared" si="8"/>
        <v>468300</v>
      </c>
      <c r="AI10" s="16">
        <f t="shared" si="9"/>
        <v>468300</v>
      </c>
      <c r="AJ10" s="17" t="str">
        <f t="shared" si="10"/>
        <v>TECNIKAN</v>
      </c>
      <c r="AK10" s="62"/>
      <c r="AL10" s="53">
        <v>492100</v>
      </c>
    </row>
    <row r="11" spans="1:40" ht="56.25" customHeight="1" x14ac:dyDescent="0.2">
      <c r="A11" s="6">
        <v>4</v>
      </c>
      <c r="B11" s="26" t="s">
        <v>132</v>
      </c>
      <c r="C11" s="26" t="s">
        <v>133</v>
      </c>
      <c r="D11" s="56" t="s">
        <v>39</v>
      </c>
      <c r="E11" s="26" t="s">
        <v>134</v>
      </c>
      <c r="F11" s="26">
        <v>3</v>
      </c>
      <c r="G11" s="15"/>
      <c r="H11" s="28">
        <v>80000</v>
      </c>
      <c r="I11" s="16">
        <f t="shared" si="0"/>
        <v>15200</v>
      </c>
      <c r="J11" s="25">
        <f t="shared" si="1"/>
        <v>95200</v>
      </c>
      <c r="K11" s="16">
        <f t="shared" si="2"/>
        <v>285600</v>
      </c>
      <c r="L11" s="16"/>
      <c r="M11" s="16"/>
      <c r="N11" s="16"/>
      <c r="O11" s="16"/>
      <c r="P11" s="16"/>
      <c r="Q11" s="30">
        <v>78000</v>
      </c>
      <c r="R11" s="16">
        <f t="shared" si="3"/>
        <v>14820</v>
      </c>
      <c r="S11" s="25">
        <f t="shared" si="11"/>
        <v>92820</v>
      </c>
      <c r="T11" s="16">
        <f t="shared" si="4"/>
        <v>278460</v>
      </c>
      <c r="U11" s="16"/>
      <c r="V11" s="16"/>
      <c r="W11" s="16"/>
      <c r="X11" s="16"/>
      <c r="Y11" s="16"/>
      <c r="Z11" s="31">
        <v>55625</v>
      </c>
      <c r="AA11" s="16">
        <f t="shared" si="5"/>
        <v>10568.75</v>
      </c>
      <c r="AB11" s="25">
        <f t="shared" si="6"/>
        <v>66193.75</v>
      </c>
      <c r="AC11" s="16">
        <f t="shared" si="7"/>
        <v>198581.25</v>
      </c>
      <c r="AD11" s="15"/>
      <c r="AE11" s="15"/>
      <c r="AF11" s="15"/>
      <c r="AG11" s="15"/>
      <c r="AH11" s="16">
        <f t="shared" si="8"/>
        <v>66193.75</v>
      </c>
      <c r="AI11" s="16">
        <f t="shared" si="9"/>
        <v>198581.25</v>
      </c>
      <c r="AJ11" s="17" t="str">
        <f t="shared" si="10"/>
        <v>TECNIKAN</v>
      </c>
      <c r="AK11" s="62"/>
      <c r="AL11" s="53">
        <v>66269</v>
      </c>
    </row>
    <row r="12" spans="1:40" ht="56.25" customHeight="1" x14ac:dyDescent="0.2">
      <c r="A12" s="6">
        <v>5</v>
      </c>
      <c r="B12" s="26" t="s">
        <v>135</v>
      </c>
      <c r="C12" s="26" t="s">
        <v>136</v>
      </c>
      <c r="D12" s="57" t="s">
        <v>39</v>
      </c>
      <c r="E12" s="26" t="s">
        <v>137</v>
      </c>
      <c r="F12" s="26">
        <v>2</v>
      </c>
      <c r="G12" s="15"/>
      <c r="H12" s="28">
        <v>90000</v>
      </c>
      <c r="I12" s="16">
        <f t="shared" si="0"/>
        <v>17100</v>
      </c>
      <c r="J12" s="25">
        <f t="shared" si="1"/>
        <v>107100</v>
      </c>
      <c r="K12" s="16">
        <f t="shared" si="2"/>
        <v>214200</v>
      </c>
      <c r="L12" s="16"/>
      <c r="M12" s="16"/>
      <c r="N12" s="16"/>
      <c r="O12" s="16"/>
      <c r="P12" s="16"/>
      <c r="Q12" s="30">
        <v>117000</v>
      </c>
      <c r="R12" s="16">
        <f t="shared" si="3"/>
        <v>22230</v>
      </c>
      <c r="S12" s="25">
        <f t="shared" si="11"/>
        <v>139230</v>
      </c>
      <c r="T12" s="16">
        <f t="shared" si="4"/>
        <v>278460</v>
      </c>
      <c r="U12" s="16"/>
      <c r="V12" s="16"/>
      <c r="W12" s="16"/>
      <c r="X12" s="16"/>
      <c r="Y12" s="16"/>
      <c r="Z12" s="31">
        <v>75000</v>
      </c>
      <c r="AA12" s="16">
        <f t="shared" si="5"/>
        <v>14250</v>
      </c>
      <c r="AB12" s="25">
        <f t="shared" si="6"/>
        <v>89250</v>
      </c>
      <c r="AC12" s="16">
        <f t="shared" si="7"/>
        <v>178500</v>
      </c>
      <c r="AD12" s="15"/>
      <c r="AE12" s="15"/>
      <c r="AF12" s="15"/>
      <c r="AG12" s="15"/>
      <c r="AH12" s="16">
        <f t="shared" si="8"/>
        <v>89250</v>
      </c>
      <c r="AI12" s="16">
        <f t="shared" si="9"/>
        <v>178500</v>
      </c>
      <c r="AJ12" s="17" t="str">
        <f t="shared" si="10"/>
        <v>TECNIKAN</v>
      </c>
      <c r="AK12" s="62"/>
      <c r="AL12" s="53">
        <v>95200</v>
      </c>
    </row>
    <row r="13" spans="1:40" ht="56.25" customHeight="1" x14ac:dyDescent="0.2">
      <c r="A13" s="6">
        <v>6</v>
      </c>
      <c r="B13" s="26" t="s">
        <v>138</v>
      </c>
      <c r="C13" s="26" t="s">
        <v>139</v>
      </c>
      <c r="D13" s="56" t="s">
        <v>39</v>
      </c>
      <c r="E13" s="26" t="s">
        <v>140</v>
      </c>
      <c r="F13" s="26">
        <v>1</v>
      </c>
      <c r="G13" s="15"/>
      <c r="H13" s="28">
        <v>3868900</v>
      </c>
      <c r="I13" s="16">
        <f t="shared" si="0"/>
        <v>735091</v>
      </c>
      <c r="J13" s="25">
        <f t="shared" si="1"/>
        <v>4603991</v>
      </c>
      <c r="K13" s="16">
        <f t="shared" si="2"/>
        <v>4603991</v>
      </c>
      <c r="L13" s="16"/>
      <c r="M13" s="16"/>
      <c r="N13" s="16"/>
      <c r="O13" s="16"/>
      <c r="P13" s="16"/>
      <c r="Q13" s="30">
        <v>3899870</v>
      </c>
      <c r="R13" s="16">
        <f t="shared" si="3"/>
        <v>740975.3</v>
      </c>
      <c r="S13" s="25">
        <f t="shared" si="11"/>
        <v>4640845.3</v>
      </c>
      <c r="T13" s="16">
        <f t="shared" si="4"/>
        <v>4640845.3</v>
      </c>
      <c r="U13" s="16"/>
      <c r="V13" s="16"/>
      <c r="W13" s="16"/>
      <c r="X13" s="16"/>
      <c r="Y13" s="16"/>
      <c r="Z13" s="31">
        <v>2772268.9075630251</v>
      </c>
      <c r="AA13" s="16">
        <f t="shared" si="5"/>
        <v>526731.09243697475</v>
      </c>
      <c r="AB13" s="25">
        <f t="shared" si="6"/>
        <v>3299000</v>
      </c>
      <c r="AC13" s="16">
        <f t="shared" si="7"/>
        <v>3299000</v>
      </c>
      <c r="AD13" s="15"/>
      <c r="AE13" s="15"/>
      <c r="AF13" s="15"/>
      <c r="AG13" s="15"/>
      <c r="AH13" s="16">
        <f t="shared" si="8"/>
        <v>3299000</v>
      </c>
      <c r="AI13" s="16">
        <f t="shared" si="9"/>
        <v>3299000</v>
      </c>
      <c r="AJ13" s="17" t="str">
        <f t="shared" si="10"/>
        <v>TECNIKAN</v>
      </c>
      <c r="AK13" s="62"/>
      <c r="AL13" s="53">
        <v>3310900</v>
      </c>
    </row>
    <row r="14" spans="1:40" ht="56.25" customHeight="1" x14ac:dyDescent="0.2">
      <c r="A14" s="6">
        <v>7</v>
      </c>
      <c r="B14" s="26" t="s">
        <v>141</v>
      </c>
      <c r="C14" s="26" t="s">
        <v>142</v>
      </c>
      <c r="D14" s="58" t="s">
        <v>39</v>
      </c>
      <c r="E14" s="26" t="s">
        <v>143</v>
      </c>
      <c r="F14" s="26">
        <v>4</v>
      </c>
      <c r="G14" s="15"/>
      <c r="H14" s="28">
        <v>799500</v>
      </c>
      <c r="I14" s="16">
        <f t="shared" si="0"/>
        <v>151905</v>
      </c>
      <c r="J14" s="25">
        <f t="shared" si="1"/>
        <v>951405</v>
      </c>
      <c r="K14" s="16">
        <f t="shared" si="2"/>
        <v>3805620</v>
      </c>
      <c r="L14" s="16"/>
      <c r="M14" s="16"/>
      <c r="N14" s="16"/>
      <c r="O14" s="16"/>
      <c r="P14" s="16"/>
      <c r="Q14" s="30">
        <v>522180.10000000003</v>
      </c>
      <c r="R14" s="16">
        <f t="shared" si="3"/>
        <v>99214.219000000012</v>
      </c>
      <c r="S14" s="25">
        <f t="shared" si="11"/>
        <v>621394.31900000002</v>
      </c>
      <c r="T14" s="16">
        <f t="shared" si="4"/>
        <v>2485577.2760000001</v>
      </c>
      <c r="U14" s="16"/>
      <c r="V14" s="16"/>
      <c r="W14" s="16"/>
      <c r="X14" s="16"/>
      <c r="Y14" s="16"/>
      <c r="Z14" s="31">
        <v>621848.73949579836</v>
      </c>
      <c r="AA14" s="16">
        <f t="shared" si="5"/>
        <v>118151.26050420169</v>
      </c>
      <c r="AB14" s="25">
        <f t="shared" si="6"/>
        <v>740000</v>
      </c>
      <c r="AC14" s="16">
        <f t="shared" si="7"/>
        <v>2960000</v>
      </c>
      <c r="AD14" s="15"/>
      <c r="AE14" s="15"/>
      <c r="AF14" s="15"/>
      <c r="AG14" s="15"/>
      <c r="AH14" s="16">
        <f t="shared" si="8"/>
        <v>621394.31900000002</v>
      </c>
      <c r="AI14" s="16">
        <f t="shared" si="9"/>
        <v>2485577.2760000001</v>
      </c>
      <c r="AJ14" s="17" t="str">
        <f t="shared" si="10"/>
        <v>INGNIERIA DIGITAL</v>
      </c>
      <c r="AK14" s="62"/>
      <c r="AL14" s="53">
        <v>748280</v>
      </c>
    </row>
    <row r="15" spans="1:40" ht="43.5" customHeight="1" x14ac:dyDescent="0.2">
      <c r="A15" s="6">
        <v>8</v>
      </c>
      <c r="B15" s="26" t="s">
        <v>144</v>
      </c>
      <c r="C15" s="26" t="s">
        <v>145</v>
      </c>
      <c r="D15" s="58" t="s">
        <v>39</v>
      </c>
      <c r="E15" s="26" t="s">
        <v>128</v>
      </c>
      <c r="F15" s="26">
        <v>2</v>
      </c>
      <c r="G15" s="15"/>
      <c r="H15" s="28">
        <v>558900</v>
      </c>
      <c r="I15" s="16">
        <f t="shared" si="0"/>
        <v>106191</v>
      </c>
      <c r="J15" s="25">
        <f t="shared" si="1"/>
        <v>665091</v>
      </c>
      <c r="K15" s="16">
        <f t="shared" si="2"/>
        <v>1330182</v>
      </c>
      <c r="L15" s="16"/>
      <c r="M15" s="16"/>
      <c r="N15" s="16"/>
      <c r="O15" s="16"/>
      <c r="P15" s="16"/>
      <c r="Q15" s="30">
        <v>592020</v>
      </c>
      <c r="R15" s="16">
        <f t="shared" si="3"/>
        <v>112483.8</v>
      </c>
      <c r="S15" s="25">
        <f t="shared" si="11"/>
        <v>704503.8</v>
      </c>
      <c r="T15" s="16">
        <f t="shared" si="4"/>
        <v>1409007.6</v>
      </c>
      <c r="U15" s="16"/>
      <c r="V15" s="16"/>
      <c r="W15" s="16"/>
      <c r="X15" s="16"/>
      <c r="Y15" s="16"/>
      <c r="Z15" s="31">
        <v>405506</v>
      </c>
      <c r="AA15" s="16">
        <f t="shared" si="5"/>
        <v>77046.14</v>
      </c>
      <c r="AB15" s="25">
        <f t="shared" si="6"/>
        <v>482552.14</v>
      </c>
      <c r="AC15" s="16">
        <f t="shared" si="7"/>
        <v>965104.28</v>
      </c>
      <c r="AD15" s="15"/>
      <c r="AE15" s="15"/>
      <c r="AF15" s="15"/>
      <c r="AG15" s="15"/>
      <c r="AH15" s="16">
        <f t="shared" si="8"/>
        <v>482552.14</v>
      </c>
      <c r="AI15" s="16">
        <f t="shared" si="9"/>
        <v>965104.28</v>
      </c>
      <c r="AJ15" s="17" t="str">
        <f t="shared" ref="AJ15" si="12">IF(AH15=J15,$G$6,IF(AH15=S15,$P$6,IF(AH15=AB15,$Y$6)))</f>
        <v>TECNIKAN</v>
      </c>
      <c r="AK15" s="62"/>
      <c r="AL15" s="53">
        <v>509922</v>
      </c>
    </row>
    <row r="16" spans="1:40" ht="26.25" customHeight="1" x14ac:dyDescent="0.2">
      <c r="A16" s="91" t="s">
        <v>13</v>
      </c>
      <c r="B16" s="91"/>
      <c r="C16" s="91"/>
      <c r="D16" s="91"/>
      <c r="E16" s="91"/>
      <c r="F16" s="91"/>
      <c r="K16" s="8">
        <f>SUM(K8:K15)</f>
        <v>15032913</v>
      </c>
      <c r="T16" s="10" t="e">
        <f>SUM(T8:T15)</f>
        <v>#VALUE!</v>
      </c>
      <c r="AC16" s="12">
        <f>SUM(AC8:AC15)</f>
        <v>11692130.564749999</v>
      </c>
      <c r="AH16" s="18"/>
      <c r="AI16" s="18">
        <f>SUM(AI8:AI15)</f>
        <v>11217707.84075</v>
      </c>
      <c r="AJ16" s="19"/>
      <c r="AK16" s="63"/>
    </row>
    <row r="17" spans="1:36" x14ac:dyDescent="0.2">
      <c r="A17" s="81"/>
      <c r="B17" s="81"/>
      <c r="C17" s="81"/>
      <c r="D17" s="81"/>
      <c r="E17" s="81"/>
      <c r="F17" s="81"/>
    </row>
    <row r="18" spans="1:36" ht="24" customHeight="1" x14ac:dyDescent="0.2">
      <c r="A18" s="20"/>
      <c r="B18" s="20"/>
      <c r="C18" s="20"/>
      <c r="D18" s="20"/>
      <c r="E18" s="20"/>
      <c r="F18" s="20"/>
      <c r="AI18" s="18">
        <f>AI8+AI9+AI10+AI11+AI12+AI13+AI15</f>
        <v>8732130.564749999</v>
      </c>
      <c r="AJ18" s="79" t="s">
        <v>149</v>
      </c>
    </row>
    <row r="19" spans="1:36" ht="19.5" customHeight="1" x14ac:dyDescent="0.2">
      <c r="A19" s="20"/>
      <c r="B19" s="20"/>
      <c r="C19" s="20"/>
      <c r="D19" s="20"/>
      <c r="E19" s="20"/>
      <c r="F19" s="20"/>
      <c r="AI19" s="78">
        <f>AI14</f>
        <v>2485577.2760000001</v>
      </c>
      <c r="AJ19" s="4" t="s">
        <v>164</v>
      </c>
    </row>
    <row r="20" spans="1:36" ht="18" customHeight="1" x14ac:dyDescent="0.2">
      <c r="AI20" s="78">
        <f>AI18+AI19</f>
        <v>11217707.84075</v>
      </c>
    </row>
    <row r="22" spans="1:36" x14ac:dyDescent="0.2">
      <c r="B22" s="5"/>
      <c r="C22" s="5"/>
    </row>
  </sheetData>
  <autoFilter ref="AJ1:AJ22"/>
  <mergeCells count="8">
    <mergeCell ref="A16:F16"/>
    <mergeCell ref="A17:F17"/>
    <mergeCell ref="A1:AH1"/>
    <mergeCell ref="A2:AH2"/>
    <mergeCell ref="A3:AH4"/>
    <mergeCell ref="Y6:AG6"/>
    <mergeCell ref="G6:O6"/>
    <mergeCell ref="P6:X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4"/>
  <sheetViews>
    <sheetView zoomScale="75" zoomScaleNormal="75" workbookViewId="0">
      <selection activeCell="AA15" sqref="AA15"/>
    </sheetView>
  </sheetViews>
  <sheetFormatPr baseColWidth="10" defaultRowHeight="11.25" x14ac:dyDescent="0.2"/>
  <cols>
    <col min="1" max="1" width="9" style="4" customWidth="1"/>
    <col min="2" max="2" width="27.7109375" style="4" bestFit="1" customWidth="1"/>
    <col min="3" max="3" width="33.140625" style="4" customWidth="1"/>
    <col min="4" max="4" width="10.140625" style="4" bestFit="1" customWidth="1"/>
    <col min="5" max="5" width="9.140625" style="4" bestFit="1" customWidth="1"/>
    <col min="6" max="6" width="9.140625" style="4" customWidth="1"/>
    <col min="7" max="7" width="17" style="4" hidden="1" customWidth="1"/>
    <col min="8" max="8" width="13.85546875" style="4" bestFit="1" customWidth="1"/>
    <col min="9" max="9" width="13.140625" style="4" bestFit="1" customWidth="1"/>
    <col min="10" max="10" width="13.7109375" style="4" customWidth="1"/>
    <col min="11" max="11" width="14.5703125" style="4" bestFit="1" customWidth="1"/>
    <col min="12" max="16" width="0" style="4" hidden="1" customWidth="1"/>
    <col min="17" max="17" width="13.140625" style="4" bestFit="1" customWidth="1"/>
    <col min="18" max="18" width="12.5703125" style="4" bestFit="1" customWidth="1"/>
    <col min="19" max="19" width="13.7109375" style="4" bestFit="1" customWidth="1"/>
    <col min="20" max="20" width="14.85546875" style="4" bestFit="1" customWidth="1"/>
    <col min="21" max="25" width="0" style="4" hidden="1" customWidth="1"/>
    <col min="26" max="26" width="13.85546875" style="4" bestFit="1" customWidth="1"/>
    <col min="27" max="27" width="13.140625" style="4" bestFit="1" customWidth="1"/>
    <col min="28" max="28" width="13.7109375" style="4" bestFit="1" customWidth="1"/>
    <col min="29" max="29" width="14.5703125" style="4" bestFit="1" customWidth="1"/>
    <col min="30" max="33" width="0" style="4" hidden="1" customWidth="1"/>
    <col min="34" max="35" width="25" style="4" customWidth="1"/>
    <col min="36" max="36" width="88" style="4" customWidth="1"/>
    <col min="37" max="16384" width="11.42578125" style="4"/>
  </cols>
  <sheetData>
    <row r="1" spans="1:36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33"/>
    </row>
    <row r="2" spans="1:36" ht="38.25" customHeight="1" x14ac:dyDescent="0.2">
      <c r="A2" s="83" t="s">
        <v>146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34"/>
    </row>
    <row r="3" spans="1:36" x14ac:dyDescent="0.2">
      <c r="A3" s="84" t="s">
        <v>28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35"/>
    </row>
    <row r="4" spans="1:36" x14ac:dyDescent="0.2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35"/>
    </row>
    <row r="5" spans="1:36" x14ac:dyDescent="0.2">
      <c r="A5" s="5"/>
      <c r="B5" s="5"/>
      <c r="C5" s="5"/>
      <c r="D5" s="5"/>
      <c r="E5" s="5"/>
      <c r="F5" s="5"/>
    </row>
    <row r="6" spans="1:36" ht="27" customHeight="1" x14ac:dyDescent="0.2">
      <c r="A6" s="5"/>
      <c r="B6" s="5"/>
      <c r="C6" s="5"/>
      <c r="D6" s="5"/>
      <c r="E6" s="5"/>
      <c r="F6" s="5"/>
      <c r="G6" s="85" t="s">
        <v>147</v>
      </c>
      <c r="H6" s="86"/>
      <c r="I6" s="86"/>
      <c r="J6" s="86"/>
      <c r="K6" s="86"/>
      <c r="L6" s="86"/>
      <c r="M6" s="86"/>
      <c r="N6" s="86"/>
      <c r="O6" s="87"/>
      <c r="P6" s="88" t="s">
        <v>116</v>
      </c>
      <c r="Q6" s="89"/>
      <c r="R6" s="89"/>
      <c r="S6" s="89"/>
      <c r="T6" s="89"/>
      <c r="U6" s="89"/>
      <c r="V6" s="89"/>
      <c r="W6" s="89"/>
      <c r="X6" s="89"/>
      <c r="Y6" s="90" t="s">
        <v>156</v>
      </c>
      <c r="Z6" s="90"/>
      <c r="AA6" s="90"/>
      <c r="AB6" s="90"/>
      <c r="AC6" s="90"/>
      <c r="AD6" s="90"/>
      <c r="AE6" s="90"/>
      <c r="AF6" s="90"/>
      <c r="AG6" s="90"/>
    </row>
    <row r="7" spans="1:36" ht="67.5" x14ac:dyDescent="0.2">
      <c r="A7" s="6" t="s">
        <v>25</v>
      </c>
      <c r="B7" s="6" t="s">
        <v>10</v>
      </c>
      <c r="C7" s="6" t="s">
        <v>1</v>
      </c>
      <c r="D7" s="6" t="s">
        <v>14</v>
      </c>
      <c r="E7" s="6" t="s">
        <v>2</v>
      </c>
      <c r="F7" s="7" t="s">
        <v>3</v>
      </c>
      <c r="G7" s="24" t="s">
        <v>4</v>
      </c>
      <c r="H7" s="24" t="s">
        <v>16</v>
      </c>
      <c r="I7" s="24" t="s">
        <v>17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12</v>
      </c>
      <c r="O7" s="9" t="s">
        <v>15</v>
      </c>
      <c r="P7" s="10" t="s">
        <v>4</v>
      </c>
      <c r="Q7" s="10" t="s">
        <v>16</v>
      </c>
      <c r="R7" s="10" t="s">
        <v>17</v>
      </c>
      <c r="S7" s="11" t="s">
        <v>5</v>
      </c>
      <c r="T7" s="11" t="s">
        <v>6</v>
      </c>
      <c r="U7" s="11" t="s">
        <v>7</v>
      </c>
      <c r="V7" s="11" t="s">
        <v>8</v>
      </c>
      <c r="W7" s="11" t="s">
        <v>12</v>
      </c>
      <c r="X7" s="11" t="s">
        <v>15</v>
      </c>
      <c r="Y7" s="12" t="s">
        <v>4</v>
      </c>
      <c r="Z7" s="12" t="s">
        <v>16</v>
      </c>
      <c r="AA7" s="12" t="s">
        <v>17</v>
      </c>
      <c r="AB7" s="13" t="s">
        <v>5</v>
      </c>
      <c r="AC7" s="13" t="s">
        <v>6</v>
      </c>
      <c r="AD7" s="13" t="s">
        <v>7</v>
      </c>
      <c r="AE7" s="13" t="s">
        <v>8</v>
      </c>
      <c r="AF7" s="13" t="s">
        <v>12</v>
      </c>
      <c r="AG7" s="13" t="s">
        <v>15</v>
      </c>
      <c r="AH7" s="14" t="s">
        <v>18</v>
      </c>
      <c r="AI7" s="14" t="s">
        <v>33</v>
      </c>
      <c r="AJ7" s="14" t="s">
        <v>19</v>
      </c>
    </row>
    <row r="8" spans="1:36" ht="56.25" customHeight="1" x14ac:dyDescent="0.2">
      <c r="A8" s="6">
        <v>1</v>
      </c>
      <c r="B8" s="64" t="s">
        <v>150</v>
      </c>
      <c r="C8" s="64" t="s">
        <v>151</v>
      </c>
      <c r="D8" s="64" t="s">
        <v>39</v>
      </c>
      <c r="E8" s="64" t="s">
        <v>152</v>
      </c>
      <c r="F8" s="64">
        <v>1</v>
      </c>
      <c r="G8" s="15"/>
      <c r="H8" s="27">
        <v>4050000</v>
      </c>
      <c r="I8" s="16">
        <f>H8*19%</f>
        <v>769500</v>
      </c>
      <c r="J8" s="25">
        <f>H8+I8</f>
        <v>4819500</v>
      </c>
      <c r="K8" s="16">
        <f>J8*F8</f>
        <v>4819500</v>
      </c>
      <c r="L8" s="16"/>
      <c r="M8" s="16"/>
      <c r="N8" s="16"/>
      <c r="O8" s="16"/>
      <c r="P8" s="16"/>
      <c r="Q8" s="29">
        <v>5372900</v>
      </c>
      <c r="R8" s="16">
        <f>Q8*19%</f>
        <v>1020851</v>
      </c>
      <c r="S8" s="25">
        <f>Q8+R8</f>
        <v>6393751</v>
      </c>
      <c r="T8" s="16">
        <f>S8*F8</f>
        <v>6393751</v>
      </c>
      <c r="U8" s="16"/>
      <c r="V8" s="16"/>
      <c r="W8" s="16"/>
      <c r="X8" s="16"/>
      <c r="Y8" s="16"/>
      <c r="Z8" s="32">
        <v>3469700</v>
      </c>
      <c r="AA8" s="16">
        <f>Z8*19%</f>
        <v>659243</v>
      </c>
      <c r="AB8" s="25">
        <f>Z8+AA8</f>
        <v>4128943</v>
      </c>
      <c r="AC8" s="16">
        <f>AB8*F8</f>
        <v>4128943</v>
      </c>
      <c r="AD8" s="15" t="s">
        <v>20</v>
      </c>
      <c r="AE8" s="15">
        <v>19</v>
      </c>
      <c r="AF8" s="15" t="s">
        <v>21</v>
      </c>
      <c r="AG8" s="15"/>
      <c r="AH8" s="16">
        <f>MIN(J8,S8,AB8)</f>
        <v>4128943</v>
      </c>
      <c r="AI8" s="16">
        <f>AH8*F8</f>
        <v>4128943</v>
      </c>
      <c r="AJ8" s="17" t="str">
        <f>IF(AH8=J8,$G$6,IF(AH8=S8,$P$6,IF(AH8=AB8,$Y$6)))</f>
        <v>GTI</v>
      </c>
    </row>
    <row r="9" spans="1:36" ht="43.5" customHeight="1" x14ac:dyDescent="0.2">
      <c r="A9" s="6">
        <v>2</v>
      </c>
      <c r="B9" s="65" t="s">
        <v>153</v>
      </c>
      <c r="C9" s="65" t="s">
        <v>154</v>
      </c>
      <c r="D9" s="65" t="s">
        <v>155</v>
      </c>
      <c r="E9" s="65" t="s">
        <v>11</v>
      </c>
      <c r="F9" s="65">
        <v>3</v>
      </c>
      <c r="G9" s="15"/>
      <c r="H9" s="27">
        <v>291200</v>
      </c>
      <c r="I9" s="16">
        <f>H9*19%</f>
        <v>55328</v>
      </c>
      <c r="J9" s="25">
        <f>H9+I9</f>
        <v>346528</v>
      </c>
      <c r="K9" s="16">
        <f>J9*F9</f>
        <v>1039584</v>
      </c>
      <c r="L9" s="16"/>
      <c r="M9" s="16"/>
      <c r="N9" s="16"/>
      <c r="O9" s="16"/>
      <c r="P9" s="16"/>
      <c r="Q9" s="29">
        <v>428870</v>
      </c>
      <c r="R9" s="16">
        <f t="shared" ref="R9" si="0">Q9*19%</f>
        <v>81485.3</v>
      </c>
      <c r="S9" s="25">
        <f t="shared" ref="S9" si="1">Q9+R9</f>
        <v>510355.3</v>
      </c>
      <c r="T9" s="16">
        <f t="shared" ref="T9" si="2">S9*F9</f>
        <v>1531065.9</v>
      </c>
      <c r="U9" s="16"/>
      <c r="V9" s="16"/>
      <c r="W9" s="16"/>
      <c r="X9" s="16"/>
      <c r="Y9" s="16"/>
      <c r="Z9" s="32">
        <v>266000</v>
      </c>
      <c r="AA9" s="16">
        <f>Z9*19%</f>
        <v>50540</v>
      </c>
      <c r="AB9" s="25">
        <f>Z9+AA9</f>
        <v>316540</v>
      </c>
      <c r="AC9" s="16">
        <f>AB9*F9</f>
        <v>949620</v>
      </c>
      <c r="AD9" s="15"/>
      <c r="AE9" s="15"/>
      <c r="AF9" s="15"/>
      <c r="AG9" s="15"/>
      <c r="AH9" s="16">
        <f t="shared" ref="AH9" si="3">MIN(J9,S9,AB9)</f>
        <v>316540</v>
      </c>
      <c r="AI9" s="16">
        <f>AH9*F9</f>
        <v>949620</v>
      </c>
      <c r="AJ9" s="17" t="str">
        <f t="shared" ref="AJ9" si="4">IF(AH9=J9,$G$6,IF(AH9=S9,$P$6,IF(AH9=AB9,$Y$6)))</f>
        <v>GTI</v>
      </c>
    </row>
    <row r="10" spans="1:36" ht="29.25" customHeight="1" x14ac:dyDescent="0.2">
      <c r="A10" s="80" t="s">
        <v>13</v>
      </c>
      <c r="B10" s="80"/>
      <c r="C10" s="80"/>
      <c r="D10" s="80"/>
      <c r="E10" s="80"/>
      <c r="F10" s="80"/>
      <c r="K10" s="24">
        <f>SUM(K8:K9)</f>
        <v>5859084</v>
      </c>
      <c r="T10" s="10">
        <f>SUM(T8:T9)</f>
        <v>7924816.9000000004</v>
      </c>
      <c r="AC10" s="12">
        <f>SUM(AC8:AC9)</f>
        <v>5078563</v>
      </c>
      <c r="AH10" s="18">
        <f>SUM(AH8:AH9)</f>
        <v>4445483</v>
      </c>
      <c r="AI10" s="44">
        <f>SUM(AI8:AI9)</f>
        <v>5078563</v>
      </c>
      <c r="AJ10" s="19"/>
    </row>
    <row r="11" spans="1:36" x14ac:dyDescent="0.2">
      <c r="A11" s="81"/>
      <c r="B11" s="81"/>
      <c r="C11" s="81"/>
      <c r="D11" s="81"/>
      <c r="E11" s="81"/>
      <c r="F11" s="81"/>
    </row>
    <row r="12" spans="1:36" ht="48" customHeight="1" x14ac:dyDescent="0.2">
      <c r="A12" s="92" t="s">
        <v>9</v>
      </c>
      <c r="B12" s="92"/>
      <c r="C12" s="92"/>
      <c r="D12" s="92"/>
      <c r="E12" s="92"/>
      <c r="F12" s="92"/>
    </row>
    <row r="13" spans="1:36" x14ac:dyDescent="0.2">
      <c r="A13" s="23"/>
      <c r="B13" s="23"/>
      <c r="C13" s="23"/>
      <c r="D13" s="23"/>
      <c r="E13" s="23"/>
      <c r="F13" s="23"/>
    </row>
    <row r="14" spans="1:36" x14ac:dyDescent="0.2">
      <c r="A14" s="23"/>
      <c r="B14" s="23"/>
      <c r="C14" s="23"/>
      <c r="D14" s="23"/>
      <c r="E14" s="23"/>
      <c r="F14" s="23"/>
    </row>
    <row r="17" spans="2:28" x14ac:dyDescent="0.2">
      <c r="B17" s="5"/>
      <c r="C17" s="5"/>
      <c r="AB17" s="4" t="s">
        <v>29</v>
      </c>
    </row>
    <row r="44" spans="27:27" x14ac:dyDescent="0.2">
      <c r="AA44" s="4" t="s">
        <v>156</v>
      </c>
    </row>
  </sheetData>
  <autoFilter ref="AJ1:AJ17"/>
  <mergeCells count="9">
    <mergeCell ref="A10:F10"/>
    <mergeCell ref="A11:F11"/>
    <mergeCell ref="A12:F12"/>
    <mergeCell ref="A1:AH1"/>
    <mergeCell ref="A2:AH2"/>
    <mergeCell ref="A3:AH4"/>
    <mergeCell ref="G6:O6"/>
    <mergeCell ref="P6:X6"/>
    <mergeCell ref="Y6:AG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8"/>
  <sheetViews>
    <sheetView tabSelected="1" workbookViewId="0">
      <selection activeCell="I16" sqref="I16"/>
    </sheetView>
  </sheetViews>
  <sheetFormatPr baseColWidth="10" defaultRowHeight="15" x14ac:dyDescent="0.25"/>
  <cols>
    <col min="2" max="2" width="31.7109375" customWidth="1"/>
    <col min="3" max="3" width="13" customWidth="1"/>
    <col min="4" max="4" width="83.5703125" customWidth="1"/>
    <col min="5" max="5" width="18.28515625" bestFit="1" customWidth="1"/>
    <col min="6" max="6" width="11.85546875" bestFit="1" customWidth="1"/>
  </cols>
  <sheetData>
    <row r="2" spans="2:5" x14ac:dyDescent="0.25">
      <c r="B2" s="36"/>
    </row>
    <row r="3" spans="2:5" x14ac:dyDescent="0.25">
      <c r="B3" s="2" t="s">
        <v>19</v>
      </c>
      <c r="C3" s="2" t="s">
        <v>31</v>
      </c>
      <c r="D3" s="37" t="s">
        <v>30</v>
      </c>
      <c r="E3" s="2" t="s">
        <v>23</v>
      </c>
    </row>
    <row r="4" spans="2:5" x14ac:dyDescent="0.25">
      <c r="B4" s="1" t="s">
        <v>115</v>
      </c>
      <c r="C4" s="2">
        <v>1</v>
      </c>
      <c r="D4" s="77" t="s">
        <v>161</v>
      </c>
      <c r="E4" s="3">
        <f>'ANEXO 1 PC'!AG45</f>
        <v>86661689</v>
      </c>
    </row>
    <row r="5" spans="2:5" x14ac:dyDescent="0.25">
      <c r="B5" s="1" t="s">
        <v>162</v>
      </c>
      <c r="C5" s="38">
        <v>1</v>
      </c>
      <c r="D5" s="38" t="s">
        <v>163</v>
      </c>
      <c r="E5" s="3">
        <f>'ANEXO 1 PC'!AG46</f>
        <v>8852993.6950000003</v>
      </c>
    </row>
    <row r="6" spans="2:5" x14ac:dyDescent="0.25">
      <c r="B6" s="1" t="s">
        <v>32</v>
      </c>
      <c r="C6" s="38"/>
      <c r="D6" s="1"/>
      <c r="E6" s="41">
        <f>SUM(E4:E5)</f>
        <v>95514682.694999993</v>
      </c>
    </row>
    <row r="7" spans="2:5" x14ac:dyDescent="0.25">
      <c r="B7" s="1"/>
      <c r="C7" s="38"/>
      <c r="D7" s="1"/>
      <c r="E7" s="41"/>
    </row>
    <row r="9" spans="2:5" x14ac:dyDescent="0.25">
      <c r="B9" s="2" t="s">
        <v>19</v>
      </c>
      <c r="C9" s="2" t="s">
        <v>31</v>
      </c>
      <c r="D9" s="37" t="s">
        <v>30</v>
      </c>
      <c r="E9" s="2" t="s">
        <v>23</v>
      </c>
    </row>
    <row r="10" spans="2:5" x14ac:dyDescent="0.25">
      <c r="B10" s="1" t="s">
        <v>165</v>
      </c>
      <c r="C10" s="2">
        <v>2</v>
      </c>
      <c r="D10" s="43" t="s">
        <v>166</v>
      </c>
      <c r="E10" s="3">
        <f>'Anexo 2 - jb'!AI18</f>
        <v>8732130.564749999</v>
      </c>
    </row>
    <row r="11" spans="2:5" x14ac:dyDescent="0.25">
      <c r="B11" s="1" t="s">
        <v>162</v>
      </c>
      <c r="C11" s="2">
        <v>2</v>
      </c>
      <c r="D11" s="43" t="s">
        <v>167</v>
      </c>
      <c r="E11" s="3">
        <f>'Anexo 2 - jb'!AI19</f>
        <v>2485577.2760000001</v>
      </c>
    </row>
    <row r="12" spans="2:5" x14ac:dyDescent="0.25">
      <c r="B12" s="1" t="s">
        <v>34</v>
      </c>
      <c r="C12" s="38"/>
      <c r="D12" s="1"/>
      <c r="E12" s="41">
        <f>SUM(E10:E10)</f>
        <v>8732130.564749999</v>
      </c>
    </row>
    <row r="14" spans="2:5" x14ac:dyDescent="0.25">
      <c r="B14" s="2" t="s">
        <v>19</v>
      </c>
      <c r="C14" s="2" t="s">
        <v>31</v>
      </c>
      <c r="D14" s="37" t="s">
        <v>30</v>
      </c>
      <c r="E14" s="2" t="s">
        <v>23</v>
      </c>
    </row>
    <row r="15" spans="2:5" x14ac:dyDescent="0.25">
      <c r="B15" s="1" t="s">
        <v>168</v>
      </c>
      <c r="C15" s="2">
        <v>3</v>
      </c>
      <c r="D15" s="43" t="s">
        <v>169</v>
      </c>
      <c r="E15" s="3">
        <f>'Anexo 3 item 3 INV'!AI10</f>
        <v>5078563</v>
      </c>
    </row>
    <row r="16" spans="2:5" x14ac:dyDescent="0.25">
      <c r="B16" s="1" t="s">
        <v>35</v>
      </c>
      <c r="C16" s="38"/>
      <c r="D16" s="1"/>
      <c r="E16" s="41">
        <f>SUM(E15:E15)</f>
        <v>5078563</v>
      </c>
    </row>
    <row r="18" spans="2:5" x14ac:dyDescent="0.25">
      <c r="B18" s="36" t="s">
        <v>22</v>
      </c>
      <c r="E18" s="45">
        <f>E6+E12+E16</f>
        <v>109325376.25974999</v>
      </c>
    </row>
  </sheetData>
  <autoFilter ref="B2:B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ANEXO 1 PC</vt:lpstr>
      <vt:lpstr>Anexo 2 - jb</vt:lpstr>
      <vt:lpstr>Anexo 3 item 3 INV</vt:lpstr>
      <vt:lpstr>adjudicación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cp:lastPrinted>2019-10-17T21:26:20Z</cp:lastPrinted>
  <dcterms:created xsi:type="dcterms:W3CDTF">2019-08-09T21:45:23Z</dcterms:created>
  <dcterms:modified xsi:type="dcterms:W3CDTF">2022-05-26T22:35:20Z</dcterms:modified>
</cp:coreProperties>
</file>